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harejih.mmo.cz\sharejih$\JIH_Users\maxovaga\Dokumenty\_D_Zaloha\Objekty\KZ O-J   K-TRIO\ROK 2024\Realizace PD na toalety a šatny\2.12.2024_hotová PD\Rozpočet\SO01-Šatny\"/>
    </mc:Choice>
  </mc:AlternateContent>
  <xr:revisionPtr revIDLastSave="0" documentId="13_ncr:1_{C822D483-6607-42E2-AAC3-20C0081C3DC3}" xr6:coauthVersionLast="47" xr6:coauthVersionMax="47" xr10:uidLastSave="{00000000-0000-0000-0000-000000000000}"/>
  <workbookProtection workbookAlgorithmName="SHA-512" workbookHashValue="Tf/uS7J4W0zA5Bb7Pprg70HGP+/rsVhGv3AZzWgy080Lcd63PRqD1f92YgAu5iXAVVbEt+w3gmnOUlwnfAfuZA==" workbookSaltValue="+Zkr5iifNDz+JpN1y22u3A==" workbookSpinCount="100000" lockStructure="1"/>
  <bookViews>
    <workbookView xWindow="-120" yWindow="-120" windowWidth="29040" windowHeight="15840" xr2:uid="{00000000-000D-0000-FFFF-FFFF00000000}"/>
  </bookViews>
  <sheets>
    <sheet name="Krycí list rozpočtu (SO 01)" sheetId="7" r:id="rId1"/>
    <sheet name="Stavební rozpočet - součet" sheetId="3" r:id="rId2"/>
    <sheet name="VORN objektu (SO 01)" sheetId="8" r:id="rId3"/>
    <sheet name="Stavební rozpočet" sheetId="1" r:id="rId4"/>
    <sheet name="Rozpočet - vybrané sloupce" sheetId="2" r:id="rId5"/>
    <sheet name="Výkaz výměr" sheetId="4" state="hidden" r:id="rId6"/>
    <sheet name="Krycí list rozpočtu" sheetId="5" state="hidden" r:id="rId7"/>
    <sheet name="VORN" sheetId="6" state="hidden" r:id="rId8"/>
    <sheet name="Krycí list rozpočtu (SO 02)" sheetId="9" state="hidden" r:id="rId9"/>
    <sheet name="VORN objektu (SO 02)" sheetId="10" state="hidden" r:id="rId10"/>
  </sheets>
  <definedNames>
    <definedName name="vorn_sum">VORN!$I$36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0" l="1"/>
  <c r="I25" i="10"/>
  <c r="I18" i="9" s="1"/>
  <c r="I24" i="10"/>
  <c r="I23" i="10"/>
  <c r="I16" i="9" s="1"/>
  <c r="I22" i="10"/>
  <c r="I17" i="10"/>
  <c r="F16" i="9" s="1"/>
  <c r="I16" i="10"/>
  <c r="I15" i="10"/>
  <c r="I18" i="10" s="1"/>
  <c r="I10" i="10"/>
  <c r="F10" i="10"/>
  <c r="C10" i="10"/>
  <c r="F8" i="10"/>
  <c r="C8" i="10"/>
  <c r="F6" i="10"/>
  <c r="C6" i="10"/>
  <c r="F4" i="10"/>
  <c r="C4" i="10"/>
  <c r="F2" i="10"/>
  <c r="C2" i="10"/>
  <c r="C26" i="9"/>
  <c r="F26" i="9" s="1"/>
  <c r="C25" i="9"/>
  <c r="C21" i="9"/>
  <c r="C20" i="9"/>
  <c r="I19" i="9"/>
  <c r="C19" i="9"/>
  <c r="C18" i="9"/>
  <c r="I17" i="9"/>
  <c r="C17" i="9"/>
  <c r="C16" i="9"/>
  <c r="I15" i="9"/>
  <c r="F15" i="9"/>
  <c r="C15" i="9"/>
  <c r="F14" i="9"/>
  <c r="C14" i="9"/>
  <c r="I10" i="9"/>
  <c r="F10" i="9"/>
  <c r="C10" i="9"/>
  <c r="F8" i="9"/>
  <c r="C8" i="9"/>
  <c r="F6" i="9"/>
  <c r="C6" i="9"/>
  <c r="F4" i="9"/>
  <c r="C4" i="9"/>
  <c r="F2" i="9"/>
  <c r="C2" i="9"/>
  <c r="I26" i="8"/>
  <c r="I19" i="7" s="1"/>
  <c r="I25" i="8"/>
  <c r="I18" i="7" s="1"/>
  <c r="I24" i="8"/>
  <c r="I17" i="7" s="1"/>
  <c r="I23" i="8"/>
  <c r="I16" i="7" s="1"/>
  <c r="I22" i="8"/>
  <c r="I15" i="7" s="1"/>
  <c r="I17" i="8"/>
  <c r="I16" i="8"/>
  <c r="I15" i="8"/>
  <c r="I10" i="8"/>
  <c r="F10" i="8"/>
  <c r="C10" i="8"/>
  <c r="F8" i="8"/>
  <c r="F6" i="8"/>
  <c r="C6" i="8"/>
  <c r="F4" i="8"/>
  <c r="C4" i="8"/>
  <c r="F2" i="8"/>
  <c r="C2" i="8"/>
  <c r="F16" i="7"/>
  <c r="F15" i="7"/>
  <c r="F14" i="7"/>
  <c r="I10" i="7"/>
  <c r="F10" i="7"/>
  <c r="C10" i="7"/>
  <c r="F8" i="7"/>
  <c r="C8" i="7"/>
  <c r="F6" i="7"/>
  <c r="C6" i="7"/>
  <c r="F4" i="7"/>
  <c r="C4" i="7"/>
  <c r="F2" i="7"/>
  <c r="C2" i="7"/>
  <c r="I35" i="6"/>
  <c r="I36" i="6" s="1"/>
  <c r="I24" i="5" s="1"/>
  <c r="I26" i="6"/>
  <c r="I25" i="6"/>
  <c r="I24" i="6"/>
  <c r="I17" i="5" s="1"/>
  <c r="I23" i="6"/>
  <c r="I16" i="5" s="1"/>
  <c r="I22" i="6"/>
  <c r="I21" i="6"/>
  <c r="I17" i="6"/>
  <c r="I16" i="6"/>
  <c r="I15" i="6"/>
  <c r="I10" i="6"/>
  <c r="F10" i="6"/>
  <c r="C10" i="6"/>
  <c r="F8" i="6"/>
  <c r="C8" i="6"/>
  <c r="F6" i="6"/>
  <c r="C6" i="6"/>
  <c r="F4" i="6"/>
  <c r="C4" i="6"/>
  <c r="F2" i="6"/>
  <c r="C2" i="6"/>
  <c r="I19" i="5"/>
  <c r="I18" i="5"/>
  <c r="F16" i="5"/>
  <c r="I15" i="5"/>
  <c r="F15" i="5"/>
  <c r="F14" i="5"/>
  <c r="I10" i="5"/>
  <c r="F10" i="5"/>
  <c r="C10" i="5"/>
  <c r="F8" i="5"/>
  <c r="C8" i="5"/>
  <c r="F6" i="5"/>
  <c r="C6" i="5"/>
  <c r="F4" i="5"/>
  <c r="C4" i="5"/>
  <c r="F2" i="5"/>
  <c r="C2" i="5"/>
  <c r="F8" i="4"/>
  <c r="C8" i="4"/>
  <c r="F6" i="4"/>
  <c r="C6" i="4"/>
  <c r="F4" i="4"/>
  <c r="C4" i="4"/>
  <c r="F2" i="4"/>
  <c r="C2" i="4"/>
  <c r="I11" i="3"/>
  <c r="G8" i="3"/>
  <c r="C8" i="3"/>
  <c r="G6" i="3"/>
  <c r="C6" i="3"/>
  <c r="G4" i="3"/>
  <c r="C4" i="3"/>
  <c r="G2" i="3"/>
  <c r="C2" i="3"/>
  <c r="L216" i="2"/>
  <c r="M216" i="2" s="1"/>
  <c r="M215" i="2" s="1"/>
  <c r="H216" i="2"/>
  <c r="IR216" i="2" s="1"/>
  <c r="G216" i="2"/>
  <c r="L214" i="2"/>
  <c r="H214" i="2"/>
  <c r="IR214" i="2" s="1"/>
  <c r="G214" i="2"/>
  <c r="IS212" i="2"/>
  <c r="J212" i="2" s="1"/>
  <c r="L212" i="2"/>
  <c r="H212" i="2"/>
  <c r="IR212" i="2" s="1"/>
  <c r="G212" i="2"/>
  <c r="H211" i="2"/>
  <c r="IR211" i="2" s="1"/>
  <c r="H210" i="2"/>
  <c r="IR210" i="2" s="1"/>
  <c r="H209" i="2"/>
  <c r="IR209" i="2" s="1"/>
  <c r="L208" i="2"/>
  <c r="H208" i="2"/>
  <c r="IR208" i="2" s="1"/>
  <c r="G208" i="2"/>
  <c r="L206" i="2"/>
  <c r="M206" i="2" s="1"/>
  <c r="H206" i="2"/>
  <c r="IR206" i="2" s="1"/>
  <c r="G206" i="2"/>
  <c r="L205" i="2"/>
  <c r="H205" i="2"/>
  <c r="IS205" i="2" s="1"/>
  <c r="J205" i="2" s="1"/>
  <c r="G205" i="2"/>
  <c r="L204" i="2"/>
  <c r="H204" i="2"/>
  <c r="IR204" i="2" s="1"/>
  <c r="G204" i="2"/>
  <c r="L202" i="2"/>
  <c r="H202" i="2"/>
  <c r="IR202" i="2" s="1"/>
  <c r="G202" i="2"/>
  <c r="L200" i="2"/>
  <c r="M200" i="2" s="1"/>
  <c r="H200" i="2"/>
  <c r="IR200" i="2" s="1"/>
  <c r="G200" i="2"/>
  <c r="L198" i="2"/>
  <c r="H198" i="2"/>
  <c r="IR198" i="2" s="1"/>
  <c r="G198" i="2"/>
  <c r="L197" i="2"/>
  <c r="H197" i="2"/>
  <c r="IR197" i="2" s="1"/>
  <c r="G197" i="2"/>
  <c r="H196" i="2"/>
  <c r="IR196" i="2" s="1"/>
  <c r="L195" i="2"/>
  <c r="M195" i="2" s="1"/>
  <c r="H195" i="2"/>
  <c r="IR195" i="2" s="1"/>
  <c r="G195" i="2"/>
  <c r="H194" i="2"/>
  <c r="IR194" i="2" s="1"/>
  <c r="L193" i="2"/>
  <c r="M193" i="2" s="1"/>
  <c r="H193" i="2"/>
  <c r="IR193" i="2" s="1"/>
  <c r="G193" i="2"/>
  <c r="L190" i="2"/>
  <c r="H190" i="2"/>
  <c r="IR190" i="2" s="1"/>
  <c r="G190" i="2"/>
  <c r="L188" i="2"/>
  <c r="H188" i="2"/>
  <c r="IR188" i="2" s="1"/>
  <c r="G188" i="2"/>
  <c r="L187" i="2"/>
  <c r="H187" i="2"/>
  <c r="IR187" i="2" s="1"/>
  <c r="G187" i="2"/>
  <c r="IR186" i="2"/>
  <c r="H186" i="2"/>
  <c r="IS186" i="2" s="1"/>
  <c r="L185" i="2"/>
  <c r="H185" i="2"/>
  <c r="IR185" i="2" s="1"/>
  <c r="G185" i="2"/>
  <c r="H184" i="2"/>
  <c r="IS184" i="2" s="1"/>
  <c r="IS183" i="2"/>
  <c r="L183" i="2"/>
  <c r="H183" i="2"/>
  <c r="IR183" i="2" s="1"/>
  <c r="G183" i="2"/>
  <c r="L181" i="2"/>
  <c r="M181" i="2" s="1"/>
  <c r="H181" i="2"/>
  <c r="IR181" i="2" s="1"/>
  <c r="G181" i="2"/>
  <c r="IS180" i="2"/>
  <c r="J180" i="2" s="1"/>
  <c r="L180" i="2"/>
  <c r="H180" i="2"/>
  <c r="IR180" i="2" s="1"/>
  <c r="G180" i="2"/>
  <c r="L179" i="2"/>
  <c r="H179" i="2"/>
  <c r="IR179" i="2" s="1"/>
  <c r="G179" i="2"/>
  <c r="L178" i="2"/>
  <c r="H178" i="2"/>
  <c r="IR178" i="2" s="1"/>
  <c r="G178" i="2"/>
  <c r="L177" i="2"/>
  <c r="H177" i="2"/>
  <c r="IR177" i="2" s="1"/>
  <c r="G177" i="2"/>
  <c r="L176" i="2"/>
  <c r="H176" i="2"/>
  <c r="IR176" i="2" s="1"/>
  <c r="G176" i="2"/>
  <c r="L175" i="2"/>
  <c r="M175" i="2" s="1"/>
  <c r="H175" i="2"/>
  <c r="IR175" i="2" s="1"/>
  <c r="G175" i="2"/>
  <c r="IS174" i="2"/>
  <c r="L174" i="2"/>
  <c r="H174" i="2"/>
  <c r="IR174" i="2" s="1"/>
  <c r="G174" i="2"/>
  <c r="L173" i="2"/>
  <c r="H173" i="2"/>
  <c r="IR173" i="2" s="1"/>
  <c r="G173" i="2"/>
  <c r="L172" i="2"/>
  <c r="H172" i="2"/>
  <c r="IR172" i="2" s="1"/>
  <c r="G172" i="2"/>
  <c r="L171" i="2"/>
  <c r="M171" i="2" s="1"/>
  <c r="H171" i="2"/>
  <c r="IR171" i="2" s="1"/>
  <c r="G171" i="2"/>
  <c r="IS170" i="2"/>
  <c r="L170" i="2"/>
  <c r="H170" i="2"/>
  <c r="IR170" i="2" s="1"/>
  <c r="G170" i="2"/>
  <c r="L169" i="2"/>
  <c r="M169" i="2" s="1"/>
  <c r="H169" i="2"/>
  <c r="IR169" i="2" s="1"/>
  <c r="G169" i="2"/>
  <c r="L168" i="2"/>
  <c r="H168" i="2"/>
  <c r="IR168" i="2" s="1"/>
  <c r="G168" i="2"/>
  <c r="M168" i="2" s="1"/>
  <c r="L167" i="2"/>
  <c r="H167" i="2"/>
  <c r="IR167" i="2" s="1"/>
  <c r="G167" i="2"/>
  <c r="L166" i="2"/>
  <c r="H166" i="2"/>
  <c r="IR166" i="2" s="1"/>
  <c r="G166" i="2"/>
  <c r="L164" i="2"/>
  <c r="M164" i="2" s="1"/>
  <c r="H164" i="2"/>
  <c r="IR164" i="2" s="1"/>
  <c r="G164" i="2"/>
  <c r="L163" i="2"/>
  <c r="H163" i="2"/>
  <c r="IR163" i="2" s="1"/>
  <c r="G163" i="2"/>
  <c r="L162" i="2"/>
  <c r="M162" i="2" s="1"/>
  <c r="H162" i="2"/>
  <c r="IR162" i="2" s="1"/>
  <c r="G162" i="2"/>
  <c r="L161" i="2"/>
  <c r="H161" i="2"/>
  <c r="IR161" i="2" s="1"/>
  <c r="G161" i="2"/>
  <c r="M161" i="2" s="1"/>
  <c r="L160" i="2"/>
  <c r="H160" i="2"/>
  <c r="IR160" i="2" s="1"/>
  <c r="G160" i="2"/>
  <c r="L159" i="2"/>
  <c r="H159" i="2"/>
  <c r="IR159" i="2" s="1"/>
  <c r="G159" i="2"/>
  <c r="L158" i="2"/>
  <c r="M158" i="2" s="1"/>
  <c r="H158" i="2"/>
  <c r="IR158" i="2" s="1"/>
  <c r="G158" i="2"/>
  <c r="L157" i="2"/>
  <c r="H157" i="2"/>
  <c r="IR157" i="2" s="1"/>
  <c r="G157" i="2"/>
  <c r="L155" i="2"/>
  <c r="H155" i="2"/>
  <c r="IR155" i="2" s="1"/>
  <c r="G155" i="2"/>
  <c r="IS153" i="2"/>
  <c r="J153" i="2" s="1"/>
  <c r="J152" i="2" s="1"/>
  <c r="L153" i="2"/>
  <c r="H153" i="2"/>
  <c r="IR153" i="2" s="1"/>
  <c r="G153" i="2"/>
  <c r="L151" i="2"/>
  <c r="H151" i="2"/>
  <c r="IR151" i="2" s="1"/>
  <c r="G151" i="2"/>
  <c r="L150" i="2"/>
  <c r="H150" i="2"/>
  <c r="IR150" i="2" s="1"/>
  <c r="G150" i="2"/>
  <c r="L149" i="2"/>
  <c r="M149" i="2" s="1"/>
  <c r="H149" i="2"/>
  <c r="IR149" i="2" s="1"/>
  <c r="G149" i="2"/>
  <c r="IS147" i="2"/>
  <c r="J147" i="2" s="1"/>
  <c r="L147" i="2"/>
  <c r="H147" i="2"/>
  <c r="IR147" i="2" s="1"/>
  <c r="G147" i="2"/>
  <c r="L146" i="2"/>
  <c r="H146" i="2"/>
  <c r="IR146" i="2" s="1"/>
  <c r="G146" i="2"/>
  <c r="L145" i="2"/>
  <c r="H145" i="2"/>
  <c r="IR145" i="2" s="1"/>
  <c r="G145" i="2"/>
  <c r="M145" i="2" s="1"/>
  <c r="L144" i="2"/>
  <c r="H144" i="2"/>
  <c r="IR144" i="2" s="1"/>
  <c r="G144" i="2"/>
  <c r="L143" i="2"/>
  <c r="H143" i="2"/>
  <c r="IR143" i="2" s="1"/>
  <c r="G143" i="2"/>
  <c r="L142" i="2"/>
  <c r="H142" i="2"/>
  <c r="IR142" i="2" s="1"/>
  <c r="G142" i="2"/>
  <c r="L141" i="2"/>
  <c r="H141" i="2"/>
  <c r="IR141" i="2" s="1"/>
  <c r="G141" i="2"/>
  <c r="L140" i="2"/>
  <c r="M140" i="2" s="1"/>
  <c r="H140" i="2"/>
  <c r="IR140" i="2" s="1"/>
  <c r="G140" i="2"/>
  <c r="IS139" i="2"/>
  <c r="J139" i="2" s="1"/>
  <c r="L139" i="2"/>
  <c r="H139" i="2"/>
  <c r="IR139" i="2" s="1"/>
  <c r="G139" i="2"/>
  <c r="L138" i="2"/>
  <c r="H138" i="2"/>
  <c r="IR138" i="2" s="1"/>
  <c r="G138" i="2"/>
  <c r="L137" i="2"/>
  <c r="H137" i="2"/>
  <c r="IR137" i="2" s="1"/>
  <c r="G137" i="2"/>
  <c r="L136" i="2"/>
  <c r="M136" i="2" s="1"/>
  <c r="H136" i="2"/>
  <c r="IR136" i="2" s="1"/>
  <c r="G136" i="2"/>
  <c r="IS135" i="2"/>
  <c r="L135" i="2"/>
  <c r="H135" i="2"/>
  <c r="IR135" i="2" s="1"/>
  <c r="G135" i="2"/>
  <c r="L134" i="2"/>
  <c r="M134" i="2" s="1"/>
  <c r="H134" i="2"/>
  <c r="IR134" i="2" s="1"/>
  <c r="G134" i="2"/>
  <c r="IS133" i="2"/>
  <c r="L133" i="2"/>
  <c r="H133" i="2"/>
  <c r="IR133" i="2" s="1"/>
  <c r="G133" i="2"/>
  <c r="L132" i="2"/>
  <c r="H132" i="2"/>
  <c r="IR132" i="2" s="1"/>
  <c r="G132" i="2"/>
  <c r="L131" i="2"/>
  <c r="H131" i="2"/>
  <c r="IR131" i="2" s="1"/>
  <c r="G131" i="2"/>
  <c r="L130" i="2"/>
  <c r="H130" i="2"/>
  <c r="IR130" i="2" s="1"/>
  <c r="G130" i="2"/>
  <c r="IS129" i="2"/>
  <c r="L129" i="2"/>
  <c r="H129" i="2"/>
  <c r="IR129" i="2" s="1"/>
  <c r="G129" i="2"/>
  <c r="L128" i="2"/>
  <c r="M128" i="2" s="1"/>
  <c r="H128" i="2"/>
  <c r="IR128" i="2" s="1"/>
  <c r="G128" i="2"/>
  <c r="L127" i="2"/>
  <c r="H127" i="2"/>
  <c r="IR127" i="2" s="1"/>
  <c r="G127" i="2"/>
  <c r="L126" i="2"/>
  <c r="H126" i="2"/>
  <c r="IR126" i="2" s="1"/>
  <c r="G126" i="2"/>
  <c r="L124" i="2"/>
  <c r="H124" i="2"/>
  <c r="IR124" i="2" s="1"/>
  <c r="G124" i="2"/>
  <c r="L123" i="2"/>
  <c r="M123" i="2" s="1"/>
  <c r="H123" i="2"/>
  <c r="IR123" i="2" s="1"/>
  <c r="G123" i="2"/>
  <c r="L121" i="2"/>
  <c r="H121" i="2"/>
  <c r="IR121" i="2" s="1"/>
  <c r="G121" i="2"/>
  <c r="L120" i="2"/>
  <c r="H120" i="2"/>
  <c r="IR120" i="2" s="1"/>
  <c r="G120" i="2"/>
  <c r="IS119" i="2"/>
  <c r="L119" i="2"/>
  <c r="H119" i="2"/>
  <c r="IR119" i="2" s="1"/>
  <c r="G119" i="2"/>
  <c r="L118" i="2"/>
  <c r="H118" i="2"/>
  <c r="IR118" i="2" s="1"/>
  <c r="G118" i="2"/>
  <c r="L116" i="2"/>
  <c r="H116" i="2"/>
  <c r="IR116" i="2" s="1"/>
  <c r="G116" i="2"/>
  <c r="H115" i="2"/>
  <c r="IS115" i="2" s="1"/>
  <c r="IS114" i="2"/>
  <c r="L114" i="2"/>
  <c r="H114" i="2"/>
  <c r="IR114" i="2" s="1"/>
  <c r="G114" i="2"/>
  <c r="L113" i="2"/>
  <c r="M113" i="2" s="1"/>
  <c r="H113" i="2"/>
  <c r="IR113" i="2" s="1"/>
  <c r="G113" i="2"/>
  <c r="IS111" i="2"/>
  <c r="J111" i="2" s="1"/>
  <c r="L111" i="2"/>
  <c r="H111" i="2"/>
  <c r="IR111" i="2" s="1"/>
  <c r="G111" i="2"/>
  <c r="L110" i="2"/>
  <c r="H110" i="2"/>
  <c r="IR110" i="2" s="1"/>
  <c r="G110" i="2"/>
  <c r="L108" i="2"/>
  <c r="H108" i="2"/>
  <c r="IR108" i="2" s="1"/>
  <c r="G108" i="2"/>
  <c r="L107" i="2"/>
  <c r="H107" i="2"/>
  <c r="IR107" i="2" s="1"/>
  <c r="G107" i="2"/>
  <c r="IS106" i="2"/>
  <c r="L106" i="2"/>
  <c r="H106" i="2"/>
  <c r="IR106" i="2" s="1"/>
  <c r="G106" i="2"/>
  <c r="L105" i="2"/>
  <c r="M105" i="2" s="1"/>
  <c r="H105" i="2"/>
  <c r="IR105" i="2" s="1"/>
  <c r="G105" i="2"/>
  <c r="L104" i="2"/>
  <c r="H104" i="2"/>
  <c r="IR104" i="2" s="1"/>
  <c r="G104" i="2"/>
  <c r="L103" i="2"/>
  <c r="H103" i="2"/>
  <c r="IR103" i="2" s="1"/>
  <c r="G103" i="2"/>
  <c r="L102" i="2"/>
  <c r="H102" i="2"/>
  <c r="IR102" i="2" s="1"/>
  <c r="G102" i="2"/>
  <c r="L100" i="2"/>
  <c r="M100" i="2" s="1"/>
  <c r="H100" i="2"/>
  <c r="IR100" i="2" s="1"/>
  <c r="G100" i="2"/>
  <c r="H99" i="2"/>
  <c r="IR99" i="2" s="1"/>
  <c r="IR98" i="2"/>
  <c r="H98" i="2"/>
  <c r="IS98" i="2" s="1"/>
  <c r="L96" i="2"/>
  <c r="H96" i="2"/>
  <c r="IR96" i="2" s="1"/>
  <c r="G96" i="2"/>
  <c r="H95" i="2"/>
  <c r="IS95" i="2" s="1"/>
  <c r="H94" i="2"/>
  <c r="IR94" i="2" s="1"/>
  <c r="L92" i="2"/>
  <c r="M92" i="2" s="1"/>
  <c r="H92" i="2"/>
  <c r="IR92" i="2" s="1"/>
  <c r="G92" i="2"/>
  <c r="IS90" i="2"/>
  <c r="L90" i="2"/>
  <c r="H90" i="2"/>
  <c r="IR90" i="2" s="1"/>
  <c r="G90" i="2"/>
  <c r="M90" i="2" s="1"/>
  <c r="H89" i="2"/>
  <c r="IR89" i="2" s="1"/>
  <c r="L88" i="2"/>
  <c r="H88" i="2"/>
  <c r="IR88" i="2" s="1"/>
  <c r="G88" i="2"/>
  <c r="IR87" i="2"/>
  <c r="H87" i="2"/>
  <c r="IS87" i="2" s="1"/>
  <c r="L86" i="2"/>
  <c r="H86" i="2"/>
  <c r="IR86" i="2" s="1"/>
  <c r="G86" i="2"/>
  <c r="L84" i="2"/>
  <c r="H84" i="2"/>
  <c r="IR84" i="2" s="1"/>
  <c r="G84" i="2"/>
  <c r="H83" i="2"/>
  <c r="IR83" i="2" s="1"/>
  <c r="L81" i="2"/>
  <c r="H81" i="2"/>
  <c r="IR81" i="2" s="1"/>
  <c r="G81" i="2"/>
  <c r="H80" i="2"/>
  <c r="IR80" i="2" s="1"/>
  <c r="H79" i="2"/>
  <c r="IR79" i="2" s="1"/>
  <c r="L77" i="2"/>
  <c r="H77" i="2"/>
  <c r="IR77" i="2" s="1"/>
  <c r="G77" i="2"/>
  <c r="L75" i="2"/>
  <c r="H75" i="2"/>
  <c r="IR75" i="2" s="1"/>
  <c r="G75" i="2"/>
  <c r="IS74" i="2"/>
  <c r="L74" i="2"/>
  <c r="H74" i="2"/>
  <c r="IR74" i="2" s="1"/>
  <c r="G74" i="2"/>
  <c r="H73" i="2"/>
  <c r="IS73" i="2" s="1"/>
  <c r="H72" i="2"/>
  <c r="IR72" i="2" s="1"/>
  <c r="H71" i="2"/>
  <c r="IS71" i="2" s="1"/>
  <c r="L70" i="2"/>
  <c r="H70" i="2"/>
  <c r="IR70" i="2" s="1"/>
  <c r="G70" i="2"/>
  <c r="L68" i="2"/>
  <c r="H68" i="2"/>
  <c r="IR68" i="2" s="1"/>
  <c r="G68" i="2"/>
  <c r="L67" i="2"/>
  <c r="H67" i="2"/>
  <c r="IR67" i="2" s="1"/>
  <c r="G67" i="2"/>
  <c r="M67" i="2" s="1"/>
  <c r="L66" i="2"/>
  <c r="H66" i="2"/>
  <c r="IR66" i="2" s="1"/>
  <c r="G66" i="2"/>
  <c r="L65" i="2"/>
  <c r="H65" i="2"/>
  <c r="IR65" i="2" s="1"/>
  <c r="G65" i="2"/>
  <c r="L64" i="2"/>
  <c r="H64" i="2"/>
  <c r="IR64" i="2" s="1"/>
  <c r="G64" i="2"/>
  <c r="L62" i="2"/>
  <c r="H62" i="2"/>
  <c r="IR62" i="2" s="1"/>
  <c r="G62" i="2"/>
  <c r="L60" i="2"/>
  <c r="M60" i="2" s="1"/>
  <c r="H60" i="2"/>
  <c r="IR60" i="2" s="1"/>
  <c r="G60" i="2"/>
  <c r="IS59" i="2"/>
  <c r="L59" i="2"/>
  <c r="H59" i="2"/>
  <c r="IR59" i="2" s="1"/>
  <c r="G59" i="2"/>
  <c r="M59" i="2" s="1"/>
  <c r="L58" i="2"/>
  <c r="H58" i="2"/>
  <c r="IR58" i="2" s="1"/>
  <c r="G58" i="2"/>
  <c r="L57" i="2"/>
  <c r="H57" i="2"/>
  <c r="IR57" i="2" s="1"/>
  <c r="G57" i="2"/>
  <c r="L56" i="2"/>
  <c r="M56" i="2" s="1"/>
  <c r="H56" i="2"/>
  <c r="IR56" i="2" s="1"/>
  <c r="G56" i="2"/>
  <c r="L55" i="2"/>
  <c r="H55" i="2"/>
  <c r="IR55" i="2" s="1"/>
  <c r="G55" i="2"/>
  <c r="L54" i="2"/>
  <c r="M54" i="2" s="1"/>
  <c r="H54" i="2"/>
  <c r="IR54" i="2" s="1"/>
  <c r="G54" i="2"/>
  <c r="IS52" i="2"/>
  <c r="J52" i="2" s="1"/>
  <c r="L52" i="2"/>
  <c r="H52" i="2"/>
  <c r="IR52" i="2" s="1"/>
  <c r="G52" i="2"/>
  <c r="L51" i="2"/>
  <c r="H51" i="2"/>
  <c r="IR51" i="2" s="1"/>
  <c r="G51" i="2"/>
  <c r="L50" i="2"/>
  <c r="H50" i="2"/>
  <c r="IR50" i="2" s="1"/>
  <c r="G50" i="2"/>
  <c r="L49" i="2"/>
  <c r="H49" i="2"/>
  <c r="IR49" i="2" s="1"/>
  <c r="G49" i="2"/>
  <c r="IS48" i="2"/>
  <c r="J48" i="2" s="1"/>
  <c r="L48" i="2"/>
  <c r="H48" i="2"/>
  <c r="IR48" i="2" s="1"/>
  <c r="G48" i="2"/>
  <c r="L47" i="2"/>
  <c r="M47" i="2" s="1"/>
  <c r="H47" i="2"/>
  <c r="IR47" i="2" s="1"/>
  <c r="G47" i="2"/>
  <c r="L46" i="2"/>
  <c r="H46" i="2"/>
  <c r="IR46" i="2" s="1"/>
  <c r="G46" i="2"/>
  <c r="L45" i="2"/>
  <c r="H45" i="2"/>
  <c r="IR45" i="2" s="1"/>
  <c r="G45" i="2"/>
  <c r="L44" i="2"/>
  <c r="H44" i="2"/>
  <c r="IR44" i="2" s="1"/>
  <c r="G44" i="2"/>
  <c r="L43" i="2"/>
  <c r="M43" i="2" s="1"/>
  <c r="H43" i="2"/>
  <c r="IR43" i="2" s="1"/>
  <c r="G43" i="2"/>
  <c r="L42" i="2"/>
  <c r="H42" i="2"/>
  <c r="IR42" i="2" s="1"/>
  <c r="G42" i="2"/>
  <c r="L41" i="2"/>
  <c r="H41" i="2"/>
  <c r="IR41" i="2" s="1"/>
  <c r="G41" i="2"/>
  <c r="L40" i="2"/>
  <c r="H40" i="2"/>
  <c r="IR40" i="2" s="1"/>
  <c r="G40" i="2"/>
  <c r="L39" i="2"/>
  <c r="H39" i="2"/>
  <c r="IR39" i="2" s="1"/>
  <c r="G39" i="2"/>
  <c r="L38" i="2"/>
  <c r="H38" i="2"/>
  <c r="IR38" i="2" s="1"/>
  <c r="G38" i="2"/>
  <c r="L37" i="2"/>
  <c r="H37" i="2"/>
  <c r="IR37" i="2" s="1"/>
  <c r="G37" i="2"/>
  <c r="H36" i="2"/>
  <c r="IR36" i="2" s="1"/>
  <c r="H35" i="2"/>
  <c r="IR35" i="2" s="1"/>
  <c r="H34" i="2"/>
  <c r="IS34" i="2" s="1"/>
  <c r="L33" i="2"/>
  <c r="H33" i="2"/>
  <c r="IR33" i="2" s="1"/>
  <c r="G33" i="2"/>
  <c r="H32" i="2"/>
  <c r="IS32" i="2" s="1"/>
  <c r="H31" i="2"/>
  <c r="IR31" i="2" s="1"/>
  <c r="H30" i="2"/>
  <c r="IS30" i="2" s="1"/>
  <c r="L29" i="2"/>
  <c r="H29" i="2"/>
  <c r="IR29" i="2" s="1"/>
  <c r="G29" i="2"/>
  <c r="H28" i="2"/>
  <c r="IS28" i="2" s="1"/>
  <c r="L27" i="2"/>
  <c r="M27" i="2" s="1"/>
  <c r="H27" i="2"/>
  <c r="IR27" i="2" s="1"/>
  <c r="G27" i="2"/>
  <c r="L26" i="2"/>
  <c r="H26" i="2"/>
  <c r="IR26" i="2" s="1"/>
  <c r="G26" i="2"/>
  <c r="L25" i="2"/>
  <c r="H25" i="2"/>
  <c r="IR25" i="2" s="1"/>
  <c r="G25" i="2"/>
  <c r="H24" i="2"/>
  <c r="IS24" i="2" s="1"/>
  <c r="L23" i="2"/>
  <c r="H23" i="2"/>
  <c r="IR23" i="2" s="1"/>
  <c r="G23" i="2"/>
  <c r="L22" i="2"/>
  <c r="H22" i="2"/>
  <c r="IR22" i="2" s="1"/>
  <c r="G22" i="2"/>
  <c r="L20" i="2"/>
  <c r="M20" i="2" s="1"/>
  <c r="H20" i="2"/>
  <c r="IR20" i="2" s="1"/>
  <c r="G20" i="2"/>
  <c r="H19" i="2"/>
  <c r="IS19" i="2" s="1"/>
  <c r="L18" i="2"/>
  <c r="M18" i="2" s="1"/>
  <c r="H18" i="2"/>
  <c r="IR18" i="2" s="1"/>
  <c r="G18" i="2"/>
  <c r="IS17" i="2"/>
  <c r="L17" i="2"/>
  <c r="H17" i="2"/>
  <c r="IR17" i="2" s="1"/>
  <c r="G17" i="2"/>
  <c r="M17" i="2" s="1"/>
  <c r="L16" i="2"/>
  <c r="H16" i="2"/>
  <c r="IR16" i="2" s="1"/>
  <c r="G16" i="2"/>
  <c r="L15" i="2"/>
  <c r="H15" i="2"/>
  <c r="IR15" i="2" s="1"/>
  <c r="G15" i="2"/>
  <c r="M15" i="2" s="1"/>
  <c r="L14" i="2"/>
  <c r="M14" i="2" s="1"/>
  <c r="H14" i="2"/>
  <c r="IR14" i="2" s="1"/>
  <c r="G14" i="2"/>
  <c r="L13" i="2"/>
  <c r="H13" i="2"/>
  <c r="IR13" i="2" s="1"/>
  <c r="G13" i="2"/>
  <c r="H8" i="2"/>
  <c r="F8" i="2"/>
  <c r="D8" i="2"/>
  <c r="H6" i="2"/>
  <c r="F6" i="2"/>
  <c r="D6" i="2"/>
  <c r="H4" i="2"/>
  <c r="D4" i="2"/>
  <c r="H2" i="2"/>
  <c r="F2" i="2"/>
  <c r="D2" i="2"/>
  <c r="BW247" i="1"/>
  <c r="BJ247" i="1"/>
  <c r="BD247" i="1"/>
  <c r="AP247" i="1"/>
  <c r="BI247" i="1" s="1"/>
  <c r="AC247" i="1" s="1"/>
  <c r="AO247" i="1"/>
  <c r="AK247" i="1"/>
  <c r="AT246" i="1" s="1"/>
  <c r="AJ247" i="1"/>
  <c r="AS246" i="1" s="1"/>
  <c r="AH247" i="1"/>
  <c r="AG247" i="1"/>
  <c r="AF247" i="1"/>
  <c r="AE247" i="1"/>
  <c r="AD247" i="1"/>
  <c r="Z247" i="1"/>
  <c r="O247" i="1"/>
  <c r="BF247" i="1" s="1"/>
  <c r="L247" i="1"/>
  <c r="L246" i="1" s="1"/>
  <c r="F32" i="3" s="1"/>
  <c r="I32" i="3" s="1"/>
  <c r="K247" i="1"/>
  <c r="K246" i="1" s="1"/>
  <c r="E32" i="3" s="1"/>
  <c r="BW245" i="1"/>
  <c r="BJ245" i="1"/>
  <c r="Z245" i="1" s="1"/>
  <c r="BD245" i="1"/>
  <c r="AP245" i="1"/>
  <c r="K245" i="1" s="1"/>
  <c r="AO245" i="1"/>
  <c r="AK245" i="1"/>
  <c r="AJ245" i="1"/>
  <c r="AH245" i="1"/>
  <c r="AG245" i="1"/>
  <c r="AF245" i="1"/>
  <c r="AE245" i="1"/>
  <c r="AD245" i="1"/>
  <c r="AC245" i="1"/>
  <c r="AB245" i="1"/>
  <c r="O245" i="1"/>
  <c r="BF245" i="1" s="1"/>
  <c r="L245" i="1"/>
  <c r="BW243" i="1"/>
  <c r="BJ243" i="1"/>
  <c r="BD243" i="1"/>
  <c r="AP243" i="1"/>
  <c r="BI243" i="1" s="1"/>
  <c r="AE243" i="1" s="1"/>
  <c r="AO243" i="1"/>
  <c r="AW243" i="1" s="1"/>
  <c r="AK243" i="1"/>
  <c r="AJ243" i="1"/>
  <c r="AH243" i="1"/>
  <c r="AG243" i="1"/>
  <c r="AF243" i="1"/>
  <c r="AC243" i="1"/>
  <c r="AB243" i="1"/>
  <c r="Z243" i="1"/>
  <c r="O243" i="1"/>
  <c r="BF243" i="1" s="1"/>
  <c r="L243" i="1"/>
  <c r="J243" i="1"/>
  <c r="BW242" i="1"/>
  <c r="BJ242" i="1"/>
  <c r="BD242" i="1"/>
  <c r="AX242" i="1"/>
  <c r="AP242" i="1"/>
  <c r="BI242" i="1" s="1"/>
  <c r="AE242" i="1" s="1"/>
  <c r="AO242" i="1"/>
  <c r="AW242" i="1" s="1"/>
  <c r="AK242" i="1"/>
  <c r="AJ242" i="1"/>
  <c r="AH242" i="1"/>
  <c r="AG242" i="1"/>
  <c r="AF242" i="1"/>
  <c r="AC242" i="1"/>
  <c r="AB242" i="1"/>
  <c r="Z242" i="1"/>
  <c r="O242" i="1"/>
  <c r="BF242" i="1" s="1"/>
  <c r="L242" i="1"/>
  <c r="L241" i="1" s="1"/>
  <c r="F31" i="3" s="1"/>
  <c r="I31" i="3" s="1"/>
  <c r="AT241" i="1"/>
  <c r="BW240" i="1"/>
  <c r="BJ240" i="1"/>
  <c r="Z240" i="1" s="1"/>
  <c r="BD240" i="1"/>
  <c r="AP240" i="1"/>
  <c r="BI240" i="1" s="1"/>
  <c r="AO240" i="1"/>
  <c r="AK240" i="1"/>
  <c r="AJ240" i="1"/>
  <c r="AH240" i="1"/>
  <c r="AG240" i="1"/>
  <c r="AF240" i="1"/>
  <c r="AE240" i="1"/>
  <c r="AD240" i="1"/>
  <c r="AC240" i="1"/>
  <c r="AB240" i="1"/>
  <c r="O240" i="1"/>
  <c r="BF240" i="1" s="1"/>
  <c r="L240" i="1"/>
  <c r="J240" i="1"/>
  <c r="BW239" i="1"/>
  <c r="BJ239" i="1"/>
  <c r="BD239" i="1"/>
  <c r="AP239" i="1"/>
  <c r="BI239" i="1" s="1"/>
  <c r="AE239" i="1" s="1"/>
  <c r="AO239" i="1"/>
  <c r="AW239" i="1" s="1"/>
  <c r="AK239" i="1"/>
  <c r="AJ239" i="1"/>
  <c r="AH239" i="1"/>
  <c r="AG239" i="1"/>
  <c r="AF239" i="1"/>
  <c r="AC239" i="1"/>
  <c r="AB239" i="1"/>
  <c r="Z239" i="1"/>
  <c r="O239" i="1"/>
  <c r="BF239" i="1" s="1"/>
  <c r="L239" i="1"/>
  <c r="K239" i="1"/>
  <c r="BW238" i="1"/>
  <c r="BJ238" i="1"/>
  <c r="BD238" i="1"/>
  <c r="AP238" i="1"/>
  <c r="AO238" i="1"/>
  <c r="AW238" i="1" s="1"/>
  <c r="AK238" i="1"/>
  <c r="AJ238" i="1"/>
  <c r="AS237" i="1" s="1"/>
  <c r="AH238" i="1"/>
  <c r="AG238" i="1"/>
  <c r="AF238" i="1"/>
  <c r="AC238" i="1"/>
  <c r="AB238" i="1"/>
  <c r="Z238" i="1"/>
  <c r="O238" i="1"/>
  <c r="O237" i="1" s="1"/>
  <c r="G30" i="3" s="1"/>
  <c r="L238" i="1"/>
  <c r="BW236" i="1"/>
  <c r="BJ236" i="1"/>
  <c r="Z236" i="1" s="1"/>
  <c r="BF236" i="1"/>
  <c r="BD236" i="1"/>
  <c r="AP236" i="1"/>
  <c r="BI236" i="1" s="1"/>
  <c r="AO236" i="1"/>
  <c r="AK236" i="1"/>
  <c r="AJ236" i="1"/>
  <c r="AH236" i="1"/>
  <c r="AG236" i="1"/>
  <c r="AF236" i="1"/>
  <c r="AE236" i="1"/>
  <c r="AD236" i="1"/>
  <c r="AC236" i="1"/>
  <c r="AB236" i="1"/>
  <c r="O236" i="1"/>
  <c r="L236" i="1"/>
  <c r="BW234" i="1"/>
  <c r="BJ234" i="1"/>
  <c r="BD234" i="1"/>
  <c r="AP234" i="1"/>
  <c r="AX234" i="1" s="1"/>
  <c r="AO234" i="1"/>
  <c r="AK234" i="1"/>
  <c r="AJ234" i="1"/>
  <c r="AH234" i="1"/>
  <c r="AG234" i="1"/>
  <c r="AF234" i="1"/>
  <c r="AC234" i="1"/>
  <c r="AB234" i="1"/>
  <c r="Z234" i="1"/>
  <c r="O234" i="1"/>
  <c r="BF234" i="1" s="1"/>
  <c r="L234" i="1"/>
  <c r="AL234" i="1" s="1"/>
  <c r="BW232" i="1"/>
  <c r="BJ232" i="1"/>
  <c r="BD232" i="1"/>
  <c r="AP232" i="1"/>
  <c r="BI232" i="1" s="1"/>
  <c r="AE232" i="1" s="1"/>
  <c r="AO232" i="1"/>
  <c r="BH232" i="1" s="1"/>
  <c r="AD232" i="1" s="1"/>
  <c r="AK232" i="1"/>
  <c r="AJ232" i="1"/>
  <c r="AH232" i="1"/>
  <c r="AG232" i="1"/>
  <c r="AF232" i="1"/>
  <c r="AC232" i="1"/>
  <c r="AB232" i="1"/>
  <c r="Z232" i="1"/>
  <c r="O232" i="1"/>
  <c r="BF232" i="1" s="1"/>
  <c r="L232" i="1"/>
  <c r="AL232" i="1" s="1"/>
  <c r="K232" i="1"/>
  <c r="J232" i="1"/>
  <c r="BW231" i="1"/>
  <c r="BJ231" i="1"/>
  <c r="BD231" i="1"/>
  <c r="AP231" i="1"/>
  <c r="BI231" i="1" s="1"/>
  <c r="AE231" i="1" s="1"/>
  <c r="AO231" i="1"/>
  <c r="BH231" i="1" s="1"/>
  <c r="AD231" i="1" s="1"/>
  <c r="AK231" i="1"/>
  <c r="AJ231" i="1"/>
  <c r="AH231" i="1"/>
  <c r="AG231" i="1"/>
  <c r="AF231" i="1"/>
  <c r="AC231" i="1"/>
  <c r="AB231" i="1"/>
  <c r="Z231" i="1"/>
  <c r="O231" i="1"/>
  <c r="BF231" i="1" s="1"/>
  <c r="L231" i="1"/>
  <c r="J231" i="1"/>
  <c r="BW230" i="1"/>
  <c r="BJ230" i="1"/>
  <c r="BD230" i="1"/>
  <c r="AP230" i="1"/>
  <c r="AX230" i="1" s="1"/>
  <c r="AO230" i="1"/>
  <c r="AW230" i="1" s="1"/>
  <c r="AV230" i="1" s="1"/>
  <c r="AK230" i="1"/>
  <c r="AJ230" i="1"/>
  <c r="AH230" i="1"/>
  <c r="AG230" i="1"/>
  <c r="AF230" i="1"/>
  <c r="AC230" i="1"/>
  <c r="AB230" i="1"/>
  <c r="Z230" i="1"/>
  <c r="O230" i="1"/>
  <c r="BF230" i="1" s="1"/>
  <c r="L230" i="1"/>
  <c r="BW228" i="1"/>
  <c r="BJ228" i="1"/>
  <c r="BI228" i="1"/>
  <c r="AE228" i="1" s="1"/>
  <c r="BD228" i="1"/>
  <c r="AP228" i="1"/>
  <c r="AX228" i="1" s="1"/>
  <c r="AO228" i="1"/>
  <c r="AK228" i="1"/>
  <c r="AJ228" i="1"/>
  <c r="AH228" i="1"/>
  <c r="AG228" i="1"/>
  <c r="AF228" i="1"/>
  <c r="AC228" i="1"/>
  <c r="AB228" i="1"/>
  <c r="Z228" i="1"/>
  <c r="O228" i="1"/>
  <c r="L228" i="1"/>
  <c r="AL228" i="1" s="1"/>
  <c r="K228" i="1"/>
  <c r="BW225" i="1"/>
  <c r="BJ225" i="1"/>
  <c r="BD225" i="1"/>
  <c r="AW225" i="1"/>
  <c r="AP225" i="1"/>
  <c r="BI225" i="1" s="1"/>
  <c r="AE225" i="1" s="1"/>
  <c r="AO225" i="1"/>
  <c r="BH225" i="1" s="1"/>
  <c r="AD225" i="1" s="1"/>
  <c r="AK225" i="1"/>
  <c r="AT224" i="1" s="1"/>
  <c r="AJ225" i="1"/>
  <c r="AS224" i="1" s="1"/>
  <c r="AH225" i="1"/>
  <c r="AG225" i="1"/>
  <c r="AF225" i="1"/>
  <c r="AC225" i="1"/>
  <c r="AB225" i="1"/>
  <c r="Z225" i="1"/>
  <c r="O225" i="1"/>
  <c r="BF225" i="1" s="1"/>
  <c r="L225" i="1"/>
  <c r="AL225" i="1" s="1"/>
  <c r="AU224" i="1" s="1"/>
  <c r="K225" i="1"/>
  <c r="K224" i="1" s="1"/>
  <c r="E28" i="3" s="1"/>
  <c r="O224" i="1"/>
  <c r="G28" i="3" s="1"/>
  <c r="BW223" i="1"/>
  <c r="BJ223" i="1"/>
  <c r="Z223" i="1" s="1"/>
  <c r="BI223" i="1"/>
  <c r="BD223" i="1"/>
  <c r="AX223" i="1"/>
  <c r="AP223" i="1"/>
  <c r="AO223" i="1"/>
  <c r="AK223" i="1"/>
  <c r="AJ223" i="1"/>
  <c r="AH223" i="1"/>
  <c r="AG223" i="1"/>
  <c r="AF223" i="1"/>
  <c r="AE223" i="1"/>
  <c r="AD223" i="1"/>
  <c r="AC223" i="1"/>
  <c r="AB223" i="1"/>
  <c r="O223" i="1"/>
  <c r="BF223" i="1" s="1"/>
  <c r="L223" i="1"/>
  <c r="AL223" i="1" s="1"/>
  <c r="K223" i="1"/>
  <c r="BW222" i="1"/>
  <c r="BJ222" i="1"/>
  <c r="BD222" i="1"/>
  <c r="AX222" i="1"/>
  <c r="AP222" i="1"/>
  <c r="BI222" i="1" s="1"/>
  <c r="AE222" i="1" s="1"/>
  <c r="AO222" i="1"/>
  <c r="BH222" i="1" s="1"/>
  <c r="AD222" i="1" s="1"/>
  <c r="AK222" i="1"/>
  <c r="AJ222" i="1"/>
  <c r="AH222" i="1"/>
  <c r="AG222" i="1"/>
  <c r="AF222" i="1"/>
  <c r="AC222" i="1"/>
  <c r="AB222" i="1"/>
  <c r="Z222" i="1"/>
  <c r="O222" i="1"/>
  <c r="BF222" i="1" s="1"/>
  <c r="L222" i="1"/>
  <c r="K222" i="1"/>
  <c r="J222" i="1"/>
  <c r="BW221" i="1"/>
  <c r="BJ221" i="1"/>
  <c r="BD221" i="1"/>
  <c r="AP221" i="1"/>
  <c r="AO221" i="1"/>
  <c r="AW221" i="1" s="1"/>
  <c r="AK221" i="1"/>
  <c r="AJ221" i="1"/>
  <c r="AH221" i="1"/>
  <c r="AG221" i="1"/>
  <c r="AF221" i="1"/>
  <c r="AC221" i="1"/>
  <c r="AB221" i="1"/>
  <c r="Z221" i="1"/>
  <c r="O221" i="1"/>
  <c r="BF221" i="1" s="1"/>
  <c r="L221" i="1"/>
  <c r="AL221" i="1" s="1"/>
  <c r="J221" i="1"/>
  <c r="BW219" i="1"/>
  <c r="BJ219" i="1"/>
  <c r="BD219" i="1"/>
  <c r="AP219" i="1"/>
  <c r="BI219" i="1" s="1"/>
  <c r="AE219" i="1" s="1"/>
  <c r="AO219" i="1"/>
  <c r="BH219" i="1" s="1"/>
  <c r="AD219" i="1" s="1"/>
  <c r="AK219" i="1"/>
  <c r="AJ219" i="1"/>
  <c r="AH219" i="1"/>
  <c r="AG219" i="1"/>
  <c r="AF219" i="1"/>
  <c r="AC219" i="1"/>
  <c r="AB219" i="1"/>
  <c r="Z219" i="1"/>
  <c r="O219" i="1"/>
  <c r="BF219" i="1" s="1"/>
  <c r="L219" i="1"/>
  <c r="AL219" i="1" s="1"/>
  <c r="K219" i="1"/>
  <c r="BW217" i="1"/>
  <c r="BJ217" i="1"/>
  <c r="Z217" i="1" s="1"/>
  <c r="BD217" i="1"/>
  <c r="AP217" i="1"/>
  <c r="BI217" i="1" s="1"/>
  <c r="AO217" i="1"/>
  <c r="AK217" i="1"/>
  <c r="AJ217" i="1"/>
  <c r="AH217" i="1"/>
  <c r="AG217" i="1"/>
  <c r="AF217" i="1"/>
  <c r="AE217" i="1"/>
  <c r="AD217" i="1"/>
  <c r="AC217" i="1"/>
  <c r="AB217" i="1"/>
  <c r="O217" i="1"/>
  <c r="BF217" i="1" s="1"/>
  <c r="L217" i="1"/>
  <c r="AL217" i="1" s="1"/>
  <c r="K217" i="1"/>
  <c r="BW216" i="1"/>
  <c r="BJ216" i="1"/>
  <c r="BD216" i="1"/>
  <c r="AP216" i="1"/>
  <c r="BI216" i="1" s="1"/>
  <c r="AE216" i="1" s="1"/>
  <c r="AO216" i="1"/>
  <c r="BH216" i="1" s="1"/>
  <c r="AK216" i="1"/>
  <c r="AJ216" i="1"/>
  <c r="AH216" i="1"/>
  <c r="AG216" i="1"/>
  <c r="AF216" i="1"/>
  <c r="AD216" i="1"/>
  <c r="AC216" i="1"/>
  <c r="AB216" i="1"/>
  <c r="Z216" i="1"/>
  <c r="O216" i="1"/>
  <c r="BF216" i="1" s="1"/>
  <c r="L216" i="1"/>
  <c r="BW215" i="1"/>
  <c r="BJ215" i="1"/>
  <c r="BI215" i="1"/>
  <c r="BD215" i="1"/>
  <c r="AX215" i="1"/>
  <c r="AW215" i="1"/>
  <c r="AV215" i="1" s="1"/>
  <c r="AP215" i="1"/>
  <c r="AO215" i="1"/>
  <c r="BH215" i="1" s="1"/>
  <c r="AD215" i="1" s="1"/>
  <c r="AK215" i="1"/>
  <c r="AJ215" i="1"/>
  <c r="AH215" i="1"/>
  <c r="AG215" i="1"/>
  <c r="AF215" i="1"/>
  <c r="AE215" i="1"/>
  <c r="AC215" i="1"/>
  <c r="AB215" i="1"/>
  <c r="Z215" i="1"/>
  <c r="O215" i="1"/>
  <c r="BF215" i="1" s="1"/>
  <c r="L215" i="1"/>
  <c r="AL215" i="1" s="1"/>
  <c r="K215" i="1"/>
  <c r="J215" i="1"/>
  <c r="BW214" i="1"/>
  <c r="BJ214" i="1"/>
  <c r="BD214" i="1"/>
  <c r="AP214" i="1"/>
  <c r="AX214" i="1" s="1"/>
  <c r="AO214" i="1"/>
  <c r="AK214" i="1"/>
  <c r="AJ214" i="1"/>
  <c r="AH214" i="1"/>
  <c r="AG214" i="1"/>
  <c r="AF214" i="1"/>
  <c r="AC214" i="1"/>
  <c r="AB214" i="1"/>
  <c r="Z214" i="1"/>
  <c r="O214" i="1"/>
  <c r="BF214" i="1" s="1"/>
  <c r="L214" i="1"/>
  <c r="AL214" i="1" s="1"/>
  <c r="K214" i="1"/>
  <c r="BW212" i="1"/>
  <c r="BJ212" i="1"/>
  <c r="BD212" i="1"/>
  <c r="AX212" i="1"/>
  <c r="AP212" i="1"/>
  <c r="BI212" i="1" s="1"/>
  <c r="AE212" i="1" s="1"/>
  <c r="AO212" i="1"/>
  <c r="BH212" i="1" s="1"/>
  <c r="AD212" i="1" s="1"/>
  <c r="AK212" i="1"/>
  <c r="AJ212" i="1"/>
  <c r="AH212" i="1"/>
  <c r="AG212" i="1"/>
  <c r="AF212" i="1"/>
  <c r="AC212" i="1"/>
  <c r="AB212" i="1"/>
  <c r="Z212" i="1"/>
  <c r="O212" i="1"/>
  <c r="BF212" i="1" s="1"/>
  <c r="L212" i="1"/>
  <c r="BW210" i="1"/>
  <c r="BJ210" i="1"/>
  <c r="BD210" i="1"/>
  <c r="AP210" i="1"/>
  <c r="AX210" i="1" s="1"/>
  <c r="AO210" i="1"/>
  <c r="AW210" i="1" s="1"/>
  <c r="AK210" i="1"/>
  <c r="AJ210" i="1"/>
  <c r="AH210" i="1"/>
  <c r="AG210" i="1"/>
  <c r="AF210" i="1"/>
  <c r="AC210" i="1"/>
  <c r="AB210" i="1"/>
  <c r="Z210" i="1"/>
  <c r="O210" i="1"/>
  <c r="BF210" i="1" s="1"/>
  <c r="L210" i="1"/>
  <c r="AL210" i="1" s="1"/>
  <c r="K210" i="1"/>
  <c r="BW208" i="1"/>
  <c r="BJ208" i="1"/>
  <c r="BI208" i="1"/>
  <c r="AE208" i="1" s="1"/>
  <c r="BD208" i="1"/>
  <c r="AP208" i="1"/>
  <c r="AX208" i="1" s="1"/>
  <c r="AO208" i="1"/>
  <c r="AK208" i="1"/>
  <c r="AJ208" i="1"/>
  <c r="AH208" i="1"/>
  <c r="AG208" i="1"/>
  <c r="AF208" i="1"/>
  <c r="AC208" i="1"/>
  <c r="AB208" i="1"/>
  <c r="Z208" i="1"/>
  <c r="O208" i="1"/>
  <c r="BF208" i="1" s="1"/>
  <c r="L208" i="1"/>
  <c r="AL208" i="1" s="1"/>
  <c r="K208" i="1"/>
  <c r="BW206" i="1"/>
  <c r="BJ206" i="1"/>
  <c r="BD206" i="1"/>
  <c r="AP206" i="1"/>
  <c r="BI206" i="1" s="1"/>
  <c r="AE206" i="1" s="1"/>
  <c r="AO206" i="1"/>
  <c r="BH206" i="1" s="1"/>
  <c r="AK206" i="1"/>
  <c r="AJ206" i="1"/>
  <c r="AH206" i="1"/>
  <c r="AG206" i="1"/>
  <c r="AF206" i="1"/>
  <c r="AD206" i="1"/>
  <c r="AC206" i="1"/>
  <c r="AB206" i="1"/>
  <c r="Z206" i="1"/>
  <c r="O206" i="1"/>
  <c r="BF206" i="1" s="1"/>
  <c r="L206" i="1"/>
  <c r="BW205" i="1"/>
  <c r="BJ205" i="1"/>
  <c r="BD205" i="1"/>
  <c r="AP205" i="1"/>
  <c r="AX205" i="1" s="1"/>
  <c r="AO205" i="1"/>
  <c r="AW205" i="1" s="1"/>
  <c r="AK205" i="1"/>
  <c r="AJ205" i="1"/>
  <c r="AH205" i="1"/>
  <c r="AG205" i="1"/>
  <c r="AF205" i="1"/>
  <c r="AC205" i="1"/>
  <c r="AB205" i="1"/>
  <c r="Z205" i="1"/>
  <c r="O205" i="1"/>
  <c r="BF205" i="1" s="1"/>
  <c r="L205" i="1"/>
  <c r="AL205" i="1" s="1"/>
  <c r="BW203" i="1"/>
  <c r="BJ203" i="1"/>
  <c r="BD203" i="1"/>
  <c r="AP203" i="1"/>
  <c r="AX203" i="1" s="1"/>
  <c r="AO203" i="1"/>
  <c r="AK203" i="1"/>
  <c r="AJ203" i="1"/>
  <c r="AH203" i="1"/>
  <c r="AG203" i="1"/>
  <c r="AF203" i="1"/>
  <c r="AC203" i="1"/>
  <c r="AB203" i="1"/>
  <c r="Z203" i="1"/>
  <c r="O203" i="1"/>
  <c r="BF203" i="1" s="1"/>
  <c r="L203" i="1"/>
  <c r="AL203" i="1" s="1"/>
  <c r="K203" i="1"/>
  <c r="BW201" i="1"/>
  <c r="BJ201" i="1"/>
  <c r="BD201" i="1"/>
  <c r="AP201" i="1"/>
  <c r="BI201" i="1" s="1"/>
  <c r="AE201" i="1" s="1"/>
  <c r="AO201" i="1"/>
  <c r="BH201" i="1" s="1"/>
  <c r="AK201" i="1"/>
  <c r="AJ201" i="1"/>
  <c r="AH201" i="1"/>
  <c r="AG201" i="1"/>
  <c r="AF201" i="1"/>
  <c r="AD201" i="1"/>
  <c r="AC201" i="1"/>
  <c r="AB201" i="1"/>
  <c r="Z201" i="1"/>
  <c r="O201" i="1"/>
  <c r="BF201" i="1" s="1"/>
  <c r="L201" i="1"/>
  <c r="BW199" i="1"/>
  <c r="BJ199" i="1"/>
  <c r="BD199" i="1"/>
  <c r="AW199" i="1"/>
  <c r="AP199" i="1"/>
  <c r="AX199" i="1" s="1"/>
  <c r="AO199" i="1"/>
  <c r="BH199" i="1" s="1"/>
  <c r="AD199" i="1" s="1"/>
  <c r="AK199" i="1"/>
  <c r="AJ199" i="1"/>
  <c r="AH199" i="1"/>
  <c r="AG199" i="1"/>
  <c r="AF199" i="1"/>
  <c r="AC199" i="1"/>
  <c r="AB199" i="1"/>
  <c r="Z199" i="1"/>
  <c r="O199" i="1"/>
  <c r="BF199" i="1" s="1"/>
  <c r="L199" i="1"/>
  <c r="AL199" i="1" s="1"/>
  <c r="J199" i="1"/>
  <c r="BW197" i="1"/>
  <c r="BJ197" i="1"/>
  <c r="BD197" i="1"/>
  <c r="AP197" i="1"/>
  <c r="AX197" i="1" s="1"/>
  <c r="AO197" i="1"/>
  <c r="AK197" i="1"/>
  <c r="AJ197" i="1"/>
  <c r="AH197" i="1"/>
  <c r="AG197" i="1"/>
  <c r="AF197" i="1"/>
  <c r="AC197" i="1"/>
  <c r="AB197" i="1"/>
  <c r="Z197" i="1"/>
  <c r="O197" i="1"/>
  <c r="BF197" i="1" s="1"/>
  <c r="L197" i="1"/>
  <c r="AL197" i="1" s="1"/>
  <c r="BW195" i="1"/>
  <c r="BJ195" i="1"/>
  <c r="BD195" i="1"/>
  <c r="AP195" i="1"/>
  <c r="BI195" i="1" s="1"/>
  <c r="AE195" i="1" s="1"/>
  <c r="AO195" i="1"/>
  <c r="BH195" i="1" s="1"/>
  <c r="AK195" i="1"/>
  <c r="AJ195" i="1"/>
  <c r="AH195" i="1"/>
  <c r="AG195" i="1"/>
  <c r="AF195" i="1"/>
  <c r="AD195" i="1"/>
  <c r="AC195" i="1"/>
  <c r="AB195" i="1"/>
  <c r="Z195" i="1"/>
  <c r="O195" i="1"/>
  <c r="BF195" i="1" s="1"/>
  <c r="L195" i="1"/>
  <c r="BW193" i="1"/>
  <c r="BJ193" i="1"/>
  <c r="BI193" i="1"/>
  <c r="AE193" i="1" s="1"/>
  <c r="BD193" i="1"/>
  <c r="AX193" i="1"/>
  <c r="AP193" i="1"/>
  <c r="AO193" i="1"/>
  <c r="BH193" i="1" s="1"/>
  <c r="AD193" i="1" s="1"/>
  <c r="AK193" i="1"/>
  <c r="AJ193" i="1"/>
  <c r="AH193" i="1"/>
  <c r="AG193" i="1"/>
  <c r="AF193" i="1"/>
  <c r="AC193" i="1"/>
  <c r="AB193" i="1"/>
  <c r="Z193" i="1"/>
  <c r="O193" i="1"/>
  <c r="BF193" i="1" s="1"/>
  <c r="M193" i="1"/>
  <c r="L193" i="1"/>
  <c r="AL193" i="1" s="1"/>
  <c r="K193" i="1"/>
  <c r="BW191" i="1"/>
  <c r="BJ191" i="1"/>
  <c r="BD191" i="1"/>
  <c r="AP191" i="1"/>
  <c r="AX191" i="1" s="1"/>
  <c r="AO191" i="1"/>
  <c r="AK191" i="1"/>
  <c r="AJ191" i="1"/>
  <c r="AH191" i="1"/>
  <c r="AG191" i="1"/>
  <c r="AF191" i="1"/>
  <c r="AC191" i="1"/>
  <c r="AB191" i="1"/>
  <c r="Z191" i="1"/>
  <c r="O191" i="1"/>
  <c r="L191" i="1"/>
  <c r="AL191" i="1" s="1"/>
  <c r="K191" i="1"/>
  <c r="BW189" i="1"/>
  <c r="BJ189" i="1"/>
  <c r="Z189" i="1" s="1"/>
  <c r="BD189" i="1"/>
  <c r="AP189" i="1"/>
  <c r="AX189" i="1" s="1"/>
  <c r="AO189" i="1"/>
  <c r="AK189" i="1"/>
  <c r="AJ189" i="1"/>
  <c r="AH189" i="1"/>
  <c r="AG189" i="1"/>
  <c r="AF189" i="1"/>
  <c r="AE189" i="1"/>
  <c r="AD189" i="1"/>
  <c r="AC189" i="1"/>
  <c r="AB189" i="1"/>
  <c r="O189" i="1"/>
  <c r="BF189" i="1" s="1"/>
  <c r="L189" i="1"/>
  <c r="AL189" i="1" s="1"/>
  <c r="BW187" i="1"/>
  <c r="BJ187" i="1"/>
  <c r="BD187" i="1"/>
  <c r="AX187" i="1"/>
  <c r="AP187" i="1"/>
  <c r="BI187" i="1" s="1"/>
  <c r="AE187" i="1" s="1"/>
  <c r="AO187" i="1"/>
  <c r="BH187" i="1" s="1"/>
  <c r="AD187" i="1" s="1"/>
  <c r="AK187" i="1"/>
  <c r="AJ187" i="1"/>
  <c r="AH187" i="1"/>
  <c r="AG187" i="1"/>
  <c r="AF187" i="1"/>
  <c r="AC187" i="1"/>
  <c r="AB187" i="1"/>
  <c r="Z187" i="1"/>
  <c r="O187" i="1"/>
  <c r="BF187" i="1" s="1"/>
  <c r="L187" i="1"/>
  <c r="BW186" i="1"/>
  <c r="BJ186" i="1"/>
  <c r="BH186" i="1"/>
  <c r="AD186" i="1" s="1"/>
  <c r="BD186" i="1"/>
  <c r="AW186" i="1"/>
  <c r="AP186" i="1"/>
  <c r="AX186" i="1" s="1"/>
  <c r="AV186" i="1" s="1"/>
  <c r="AO186" i="1"/>
  <c r="AK186" i="1"/>
  <c r="AJ186" i="1"/>
  <c r="AH186" i="1"/>
  <c r="AG186" i="1"/>
  <c r="AF186" i="1"/>
  <c r="AC186" i="1"/>
  <c r="AB186" i="1"/>
  <c r="Z186" i="1"/>
  <c r="O186" i="1"/>
  <c r="BF186" i="1" s="1"/>
  <c r="L186" i="1"/>
  <c r="AL186" i="1" s="1"/>
  <c r="J186" i="1"/>
  <c r="BW184" i="1"/>
  <c r="BJ184" i="1"/>
  <c r="BD184" i="1"/>
  <c r="AP184" i="1"/>
  <c r="AX184" i="1" s="1"/>
  <c r="AO184" i="1"/>
  <c r="AK184" i="1"/>
  <c r="AJ184" i="1"/>
  <c r="AH184" i="1"/>
  <c r="AG184" i="1"/>
  <c r="AF184" i="1"/>
  <c r="AC184" i="1"/>
  <c r="AB184" i="1"/>
  <c r="Z184" i="1"/>
  <c r="O184" i="1"/>
  <c r="BF184" i="1" s="1"/>
  <c r="L184" i="1"/>
  <c r="AL184" i="1" s="1"/>
  <c r="K184" i="1"/>
  <c r="BW182" i="1"/>
  <c r="BJ182" i="1"/>
  <c r="BD182" i="1"/>
  <c r="AX182" i="1"/>
  <c r="AP182" i="1"/>
  <c r="BI182" i="1" s="1"/>
  <c r="AE182" i="1" s="1"/>
  <c r="AO182" i="1"/>
  <c r="BH182" i="1" s="1"/>
  <c r="AD182" i="1" s="1"/>
  <c r="AK182" i="1"/>
  <c r="AJ182" i="1"/>
  <c r="AH182" i="1"/>
  <c r="AG182" i="1"/>
  <c r="AF182" i="1"/>
  <c r="AC182" i="1"/>
  <c r="AB182" i="1"/>
  <c r="Z182" i="1"/>
  <c r="O182" i="1"/>
  <c r="BF182" i="1" s="1"/>
  <c r="L182" i="1"/>
  <c r="BW181" i="1"/>
  <c r="BJ181" i="1"/>
  <c r="BD181" i="1"/>
  <c r="AX181" i="1"/>
  <c r="AP181" i="1"/>
  <c r="BI181" i="1" s="1"/>
  <c r="AE181" i="1" s="1"/>
  <c r="AO181" i="1"/>
  <c r="AW181" i="1" s="1"/>
  <c r="AK181" i="1"/>
  <c r="AJ181" i="1"/>
  <c r="AH181" i="1"/>
  <c r="AG181" i="1"/>
  <c r="AF181" i="1"/>
  <c r="AC181" i="1"/>
  <c r="AB181" i="1"/>
  <c r="Z181" i="1"/>
  <c r="O181" i="1"/>
  <c r="BF181" i="1" s="1"/>
  <c r="L181" i="1"/>
  <c r="AL181" i="1" s="1"/>
  <c r="K181" i="1"/>
  <c r="J181" i="1"/>
  <c r="BW179" i="1"/>
  <c r="BJ179" i="1"/>
  <c r="BD179" i="1"/>
  <c r="AP179" i="1"/>
  <c r="AX179" i="1" s="1"/>
  <c r="AO179" i="1"/>
  <c r="AK179" i="1"/>
  <c r="AJ179" i="1"/>
  <c r="AH179" i="1"/>
  <c r="AG179" i="1"/>
  <c r="AF179" i="1"/>
  <c r="AC179" i="1"/>
  <c r="AB179" i="1"/>
  <c r="Z179" i="1"/>
  <c r="O179" i="1"/>
  <c r="BF179" i="1" s="1"/>
  <c r="L179" i="1"/>
  <c r="AL179" i="1" s="1"/>
  <c r="K179" i="1"/>
  <c r="BW177" i="1"/>
  <c r="BJ177" i="1"/>
  <c r="BD177" i="1"/>
  <c r="AP177" i="1"/>
  <c r="BI177" i="1" s="1"/>
  <c r="AE177" i="1" s="1"/>
  <c r="AO177" i="1"/>
  <c r="BH177" i="1" s="1"/>
  <c r="AK177" i="1"/>
  <c r="AJ177" i="1"/>
  <c r="AH177" i="1"/>
  <c r="AG177" i="1"/>
  <c r="AF177" i="1"/>
  <c r="AD177" i="1"/>
  <c r="AC177" i="1"/>
  <c r="AB177" i="1"/>
  <c r="Z177" i="1"/>
  <c r="O177" i="1"/>
  <c r="BF177" i="1" s="1"/>
  <c r="L177" i="1"/>
  <c r="BW175" i="1"/>
  <c r="BJ175" i="1"/>
  <c r="BD175" i="1"/>
  <c r="AP175" i="1"/>
  <c r="BI175" i="1" s="1"/>
  <c r="AE175" i="1" s="1"/>
  <c r="AO175" i="1"/>
  <c r="BH175" i="1" s="1"/>
  <c r="AD175" i="1" s="1"/>
  <c r="AK175" i="1"/>
  <c r="AT174" i="1" s="1"/>
  <c r="AJ175" i="1"/>
  <c r="AH175" i="1"/>
  <c r="AG175" i="1"/>
  <c r="AF175" i="1"/>
  <c r="AC175" i="1"/>
  <c r="AB175" i="1"/>
  <c r="Z175" i="1"/>
  <c r="O175" i="1"/>
  <c r="BF175" i="1" s="1"/>
  <c r="L175" i="1"/>
  <c r="AS174" i="1"/>
  <c r="BW172" i="1"/>
  <c r="BJ172" i="1"/>
  <c r="BF172" i="1"/>
  <c r="BD172" i="1"/>
  <c r="AP172" i="1"/>
  <c r="BI172" i="1" s="1"/>
  <c r="AE172" i="1" s="1"/>
  <c r="AO172" i="1"/>
  <c r="BH172" i="1" s="1"/>
  <c r="AK172" i="1"/>
  <c r="AT171" i="1" s="1"/>
  <c r="AJ172" i="1"/>
  <c r="AS171" i="1" s="1"/>
  <c r="AH172" i="1"/>
  <c r="AG172" i="1"/>
  <c r="AF172" i="1"/>
  <c r="AD172" i="1"/>
  <c r="AC172" i="1"/>
  <c r="AB172" i="1"/>
  <c r="Z172" i="1"/>
  <c r="O172" i="1"/>
  <c r="O171" i="1" s="1"/>
  <c r="G23" i="3" s="1"/>
  <c r="L172" i="1"/>
  <c r="BW169" i="1"/>
  <c r="BJ169" i="1"/>
  <c r="BD169" i="1"/>
  <c r="AP169" i="1"/>
  <c r="BI169" i="1" s="1"/>
  <c r="AE169" i="1" s="1"/>
  <c r="AO169" i="1"/>
  <c r="BH169" i="1" s="1"/>
  <c r="AD169" i="1" s="1"/>
  <c r="AK169" i="1"/>
  <c r="AJ169" i="1"/>
  <c r="AH169" i="1"/>
  <c r="AG169" i="1"/>
  <c r="AF169" i="1"/>
  <c r="AC169" i="1"/>
  <c r="AB169" i="1"/>
  <c r="Z169" i="1"/>
  <c r="O169" i="1"/>
  <c r="BF169" i="1" s="1"/>
  <c r="L169" i="1"/>
  <c r="BW167" i="1"/>
  <c r="BJ167" i="1"/>
  <c r="BH167" i="1"/>
  <c r="AD167" i="1" s="1"/>
  <c r="BD167" i="1"/>
  <c r="AP167" i="1"/>
  <c r="AX167" i="1" s="1"/>
  <c r="AO167" i="1"/>
  <c r="AW167" i="1" s="1"/>
  <c r="AK167" i="1"/>
  <c r="AJ167" i="1"/>
  <c r="AH167" i="1"/>
  <c r="AG167" i="1"/>
  <c r="AF167" i="1"/>
  <c r="AC167" i="1"/>
  <c r="AB167" i="1"/>
  <c r="Z167" i="1"/>
  <c r="O167" i="1"/>
  <c r="BF167" i="1" s="1"/>
  <c r="L167" i="1"/>
  <c r="AL167" i="1" s="1"/>
  <c r="BW166" i="1"/>
  <c r="BJ166" i="1"/>
  <c r="BD166" i="1"/>
  <c r="AP166" i="1"/>
  <c r="AX166" i="1" s="1"/>
  <c r="AO166" i="1"/>
  <c r="AK166" i="1"/>
  <c r="AJ166" i="1"/>
  <c r="AH166" i="1"/>
  <c r="AG166" i="1"/>
  <c r="AF166" i="1"/>
  <c r="AC166" i="1"/>
  <c r="AB166" i="1"/>
  <c r="Z166" i="1"/>
  <c r="O166" i="1"/>
  <c r="BF166" i="1" s="1"/>
  <c r="L166" i="1"/>
  <c r="AL166" i="1" s="1"/>
  <c r="K166" i="1"/>
  <c r="BW164" i="1"/>
  <c r="BJ164" i="1"/>
  <c r="BD164" i="1"/>
  <c r="AP164" i="1"/>
  <c r="BI164" i="1" s="1"/>
  <c r="AE164" i="1" s="1"/>
  <c r="AO164" i="1"/>
  <c r="BH164" i="1" s="1"/>
  <c r="AD164" i="1" s="1"/>
  <c r="AK164" i="1"/>
  <c r="AJ164" i="1"/>
  <c r="AH164" i="1"/>
  <c r="AG164" i="1"/>
  <c r="AF164" i="1"/>
  <c r="AC164" i="1"/>
  <c r="AB164" i="1"/>
  <c r="Z164" i="1"/>
  <c r="O164" i="1"/>
  <c r="BF164" i="1" s="1"/>
  <c r="L164" i="1"/>
  <c r="BW163" i="1"/>
  <c r="BJ163" i="1"/>
  <c r="BI163" i="1"/>
  <c r="BD163" i="1"/>
  <c r="AP163" i="1"/>
  <c r="AX163" i="1" s="1"/>
  <c r="AO163" i="1"/>
  <c r="J163" i="1" s="1"/>
  <c r="AK163" i="1"/>
  <c r="AJ163" i="1"/>
  <c r="AH163" i="1"/>
  <c r="AG163" i="1"/>
  <c r="AF163" i="1"/>
  <c r="AE163" i="1"/>
  <c r="AC163" i="1"/>
  <c r="AB163" i="1"/>
  <c r="Z163" i="1"/>
  <c r="O163" i="1"/>
  <c r="BF163" i="1" s="1"/>
  <c r="L163" i="1"/>
  <c r="AL163" i="1" s="1"/>
  <c r="K163" i="1"/>
  <c r="BW162" i="1"/>
  <c r="BJ162" i="1"/>
  <c r="BI162" i="1"/>
  <c r="AE162" i="1" s="1"/>
  <c r="BD162" i="1"/>
  <c r="AP162" i="1"/>
  <c r="AX162" i="1" s="1"/>
  <c r="AO162" i="1"/>
  <c r="AW162" i="1" s="1"/>
  <c r="AK162" i="1"/>
  <c r="AJ162" i="1"/>
  <c r="AH162" i="1"/>
  <c r="AG162" i="1"/>
  <c r="AF162" i="1"/>
  <c r="AC162" i="1"/>
  <c r="AB162" i="1"/>
  <c r="Z162" i="1"/>
  <c r="O162" i="1"/>
  <c r="BF162" i="1" s="1"/>
  <c r="L162" i="1"/>
  <c r="AL162" i="1" s="1"/>
  <c r="K162" i="1"/>
  <c r="BW161" i="1"/>
  <c r="BJ161" i="1"/>
  <c r="BF161" i="1"/>
  <c r="BD161" i="1"/>
  <c r="AX161" i="1"/>
  <c r="AP161" i="1"/>
  <c r="AO161" i="1"/>
  <c r="BH161" i="1" s="1"/>
  <c r="AK161" i="1"/>
  <c r="AJ161" i="1"/>
  <c r="AH161" i="1"/>
  <c r="AG161" i="1"/>
  <c r="AF161" i="1"/>
  <c r="AD161" i="1"/>
  <c r="AC161" i="1"/>
  <c r="AB161" i="1"/>
  <c r="Z161" i="1"/>
  <c r="O161" i="1"/>
  <c r="L161" i="1"/>
  <c r="BW159" i="1"/>
  <c r="BJ159" i="1"/>
  <c r="BD159" i="1"/>
  <c r="AP159" i="1"/>
  <c r="BI159" i="1" s="1"/>
  <c r="AE159" i="1" s="1"/>
  <c r="AO159" i="1"/>
  <c r="BH159" i="1" s="1"/>
  <c r="AD159" i="1" s="1"/>
  <c r="AK159" i="1"/>
  <c r="AJ159" i="1"/>
  <c r="AH159" i="1"/>
  <c r="AG159" i="1"/>
  <c r="AF159" i="1"/>
  <c r="AC159" i="1"/>
  <c r="AB159" i="1"/>
  <c r="Z159" i="1"/>
  <c r="O159" i="1"/>
  <c r="BF159" i="1" s="1"/>
  <c r="L159" i="1"/>
  <c r="AL159" i="1" s="1"/>
  <c r="K159" i="1"/>
  <c r="J159" i="1"/>
  <c r="BW158" i="1"/>
  <c r="BJ158" i="1"/>
  <c r="BD158" i="1"/>
  <c r="AP158" i="1"/>
  <c r="AX158" i="1" s="1"/>
  <c r="AO158" i="1"/>
  <c r="AW158" i="1" s="1"/>
  <c r="AK158" i="1"/>
  <c r="AJ158" i="1"/>
  <c r="AH158" i="1"/>
  <c r="AG158" i="1"/>
  <c r="AF158" i="1"/>
  <c r="AC158" i="1"/>
  <c r="AB158" i="1"/>
  <c r="Z158" i="1"/>
  <c r="O158" i="1"/>
  <c r="BF158" i="1" s="1"/>
  <c r="L158" i="1"/>
  <c r="AL158" i="1" s="1"/>
  <c r="BW156" i="1"/>
  <c r="BJ156" i="1"/>
  <c r="BD156" i="1"/>
  <c r="AX156" i="1"/>
  <c r="AP156" i="1"/>
  <c r="AO156" i="1"/>
  <c r="BH156" i="1" s="1"/>
  <c r="AD156" i="1" s="1"/>
  <c r="AK156" i="1"/>
  <c r="AJ156" i="1"/>
  <c r="AH156" i="1"/>
  <c r="AG156" i="1"/>
  <c r="AF156" i="1"/>
  <c r="AC156" i="1"/>
  <c r="AB156" i="1"/>
  <c r="Z156" i="1"/>
  <c r="O156" i="1"/>
  <c r="BF156" i="1" s="1"/>
  <c r="L156" i="1"/>
  <c r="BW155" i="1"/>
  <c r="M155" i="1" s="1"/>
  <c r="BJ155" i="1"/>
  <c r="BD155" i="1"/>
  <c r="AP155" i="1"/>
  <c r="AX155" i="1" s="1"/>
  <c r="AO155" i="1"/>
  <c r="AW155" i="1" s="1"/>
  <c r="AK155" i="1"/>
  <c r="AJ155" i="1"/>
  <c r="AH155" i="1"/>
  <c r="AG155" i="1"/>
  <c r="AF155" i="1"/>
  <c r="AC155" i="1"/>
  <c r="AB155" i="1"/>
  <c r="Z155" i="1"/>
  <c r="O155" i="1"/>
  <c r="BF155" i="1" s="1"/>
  <c r="L155" i="1"/>
  <c r="AL155" i="1" s="1"/>
  <c r="BW153" i="1"/>
  <c r="BJ153" i="1"/>
  <c r="BD153" i="1"/>
  <c r="AP153" i="1"/>
  <c r="AX153" i="1" s="1"/>
  <c r="AO153" i="1"/>
  <c r="AW153" i="1" s="1"/>
  <c r="AK153" i="1"/>
  <c r="AJ153" i="1"/>
  <c r="AH153" i="1"/>
  <c r="AG153" i="1"/>
  <c r="AF153" i="1"/>
  <c r="AC153" i="1"/>
  <c r="AB153" i="1"/>
  <c r="Z153" i="1"/>
  <c r="O153" i="1"/>
  <c r="BF153" i="1" s="1"/>
  <c r="L153" i="1"/>
  <c r="AL153" i="1" s="1"/>
  <c r="K153" i="1"/>
  <c r="BW151" i="1"/>
  <c r="BJ151" i="1"/>
  <c r="BD151" i="1"/>
  <c r="AP151" i="1"/>
  <c r="AX151" i="1" s="1"/>
  <c r="AO151" i="1"/>
  <c r="AK151" i="1"/>
  <c r="AJ151" i="1"/>
  <c r="AH151" i="1"/>
  <c r="AG151" i="1"/>
  <c r="AF151" i="1"/>
  <c r="AC151" i="1"/>
  <c r="AB151" i="1"/>
  <c r="Z151" i="1"/>
  <c r="O151" i="1"/>
  <c r="BF151" i="1" s="1"/>
  <c r="M151" i="1"/>
  <c r="L151" i="1"/>
  <c r="AL151" i="1" s="1"/>
  <c r="BW149" i="1"/>
  <c r="BJ149" i="1"/>
  <c r="BD149" i="1"/>
  <c r="AP149" i="1"/>
  <c r="AX149" i="1" s="1"/>
  <c r="AO149" i="1"/>
  <c r="AW149" i="1" s="1"/>
  <c r="AK149" i="1"/>
  <c r="AJ149" i="1"/>
  <c r="AH149" i="1"/>
  <c r="AG149" i="1"/>
  <c r="AF149" i="1"/>
  <c r="AC149" i="1"/>
  <c r="AB149" i="1"/>
  <c r="Z149" i="1"/>
  <c r="O149" i="1"/>
  <c r="BF149" i="1" s="1"/>
  <c r="L149" i="1"/>
  <c r="AL149" i="1" s="1"/>
  <c r="K149" i="1"/>
  <c r="J149" i="1"/>
  <c r="BW148" i="1"/>
  <c r="BJ148" i="1"/>
  <c r="BD148" i="1"/>
  <c r="AW148" i="1"/>
  <c r="AP148" i="1"/>
  <c r="AX148" i="1" s="1"/>
  <c r="AO148" i="1"/>
  <c r="BH148" i="1" s="1"/>
  <c r="AD148" i="1" s="1"/>
  <c r="AK148" i="1"/>
  <c r="AJ148" i="1"/>
  <c r="AH148" i="1"/>
  <c r="AG148" i="1"/>
  <c r="AF148" i="1"/>
  <c r="AC148" i="1"/>
  <c r="AB148" i="1"/>
  <c r="Z148" i="1"/>
  <c r="O148" i="1"/>
  <c r="BF148" i="1" s="1"/>
  <c r="L148" i="1"/>
  <c r="AL148" i="1" s="1"/>
  <c r="K148" i="1"/>
  <c r="J148" i="1"/>
  <c r="BW146" i="1"/>
  <c r="BJ146" i="1"/>
  <c r="BF146" i="1"/>
  <c r="BD146" i="1"/>
  <c r="AP146" i="1"/>
  <c r="AO146" i="1"/>
  <c r="AK146" i="1"/>
  <c r="AJ146" i="1"/>
  <c r="AH146" i="1"/>
  <c r="AG146" i="1"/>
  <c r="AF146" i="1"/>
  <c r="AC146" i="1"/>
  <c r="AB146" i="1"/>
  <c r="Z146" i="1"/>
  <c r="O146" i="1"/>
  <c r="L146" i="1"/>
  <c r="AL146" i="1" s="1"/>
  <c r="BW145" i="1"/>
  <c r="BJ145" i="1"/>
  <c r="BD145" i="1"/>
  <c r="AP145" i="1"/>
  <c r="BI145" i="1" s="1"/>
  <c r="AE145" i="1" s="1"/>
  <c r="AO145" i="1"/>
  <c r="AW145" i="1" s="1"/>
  <c r="AK145" i="1"/>
  <c r="AJ145" i="1"/>
  <c r="AH145" i="1"/>
  <c r="AG145" i="1"/>
  <c r="AF145" i="1"/>
  <c r="AC145" i="1"/>
  <c r="AB145" i="1"/>
  <c r="Z145" i="1"/>
  <c r="O145" i="1"/>
  <c r="BF145" i="1" s="1"/>
  <c r="L145" i="1"/>
  <c r="AL145" i="1" s="1"/>
  <c r="K145" i="1"/>
  <c r="J145" i="1"/>
  <c r="BW143" i="1"/>
  <c r="BJ143" i="1"/>
  <c r="BD143" i="1"/>
  <c r="AX143" i="1"/>
  <c r="AP143" i="1"/>
  <c r="BI143" i="1" s="1"/>
  <c r="AE143" i="1" s="1"/>
  <c r="AO143" i="1"/>
  <c r="BH143" i="1" s="1"/>
  <c r="AD143" i="1" s="1"/>
  <c r="AK143" i="1"/>
  <c r="AJ143" i="1"/>
  <c r="AH143" i="1"/>
  <c r="AG143" i="1"/>
  <c r="AF143" i="1"/>
  <c r="AC143" i="1"/>
  <c r="AB143" i="1"/>
  <c r="Z143" i="1"/>
  <c r="O143" i="1"/>
  <c r="BF143" i="1" s="1"/>
  <c r="L143" i="1"/>
  <c r="K143" i="1"/>
  <c r="J143" i="1"/>
  <c r="BW142" i="1"/>
  <c r="BJ142" i="1"/>
  <c r="BD142" i="1"/>
  <c r="AP142" i="1"/>
  <c r="AX142" i="1" s="1"/>
  <c r="AO142" i="1"/>
  <c r="AW142" i="1" s="1"/>
  <c r="AK142" i="1"/>
  <c r="AJ142" i="1"/>
  <c r="AH142" i="1"/>
  <c r="AG142" i="1"/>
  <c r="AF142" i="1"/>
  <c r="AC142" i="1"/>
  <c r="AB142" i="1"/>
  <c r="Z142" i="1"/>
  <c r="O142" i="1"/>
  <c r="BF142" i="1" s="1"/>
  <c r="L142" i="1"/>
  <c r="AL142" i="1" s="1"/>
  <c r="J142" i="1"/>
  <c r="BW141" i="1"/>
  <c r="BJ141" i="1"/>
  <c r="BD141" i="1"/>
  <c r="AP141" i="1"/>
  <c r="BI141" i="1" s="1"/>
  <c r="AE141" i="1" s="1"/>
  <c r="AO141" i="1"/>
  <c r="BH141" i="1" s="1"/>
  <c r="AD141" i="1" s="1"/>
  <c r="AK141" i="1"/>
  <c r="AJ141" i="1"/>
  <c r="AH141" i="1"/>
  <c r="AG141" i="1"/>
  <c r="AF141" i="1"/>
  <c r="AC141" i="1"/>
  <c r="AB141" i="1"/>
  <c r="Z141" i="1"/>
  <c r="O141" i="1"/>
  <c r="BF141" i="1" s="1"/>
  <c r="L141" i="1"/>
  <c r="AL141" i="1" s="1"/>
  <c r="BW139" i="1"/>
  <c r="BJ139" i="1"/>
  <c r="BF139" i="1"/>
  <c r="BD139" i="1"/>
  <c r="AW139" i="1"/>
  <c r="AP139" i="1"/>
  <c r="AX139" i="1" s="1"/>
  <c r="AO139" i="1"/>
  <c r="J139" i="1" s="1"/>
  <c r="AK139" i="1"/>
  <c r="AJ139" i="1"/>
  <c r="AH139" i="1"/>
  <c r="AG139" i="1"/>
  <c r="AF139" i="1"/>
  <c r="AC139" i="1"/>
  <c r="AB139" i="1"/>
  <c r="Z139" i="1"/>
  <c r="O139" i="1"/>
  <c r="L139" i="1"/>
  <c r="BW137" i="1"/>
  <c r="BJ137" i="1"/>
  <c r="BD137" i="1"/>
  <c r="AP137" i="1"/>
  <c r="AX137" i="1" s="1"/>
  <c r="AV137" i="1" s="1"/>
  <c r="AO137" i="1"/>
  <c r="AW137" i="1" s="1"/>
  <c r="AK137" i="1"/>
  <c r="AJ137" i="1"/>
  <c r="AH137" i="1"/>
  <c r="AG137" i="1"/>
  <c r="AF137" i="1"/>
  <c r="AC137" i="1"/>
  <c r="AB137" i="1"/>
  <c r="Z137" i="1"/>
  <c r="O137" i="1"/>
  <c r="BF137" i="1" s="1"/>
  <c r="L137" i="1"/>
  <c r="AL137" i="1" s="1"/>
  <c r="BW135" i="1"/>
  <c r="BJ135" i="1"/>
  <c r="BD135" i="1"/>
  <c r="AX135" i="1"/>
  <c r="AP135" i="1"/>
  <c r="BI135" i="1" s="1"/>
  <c r="AE135" i="1" s="1"/>
  <c r="AO135" i="1"/>
  <c r="AW135" i="1" s="1"/>
  <c r="AK135" i="1"/>
  <c r="AJ135" i="1"/>
  <c r="AH135" i="1"/>
  <c r="AG135" i="1"/>
  <c r="AF135" i="1"/>
  <c r="AC135" i="1"/>
  <c r="AB135" i="1"/>
  <c r="Z135" i="1"/>
  <c r="O135" i="1"/>
  <c r="BF135" i="1" s="1"/>
  <c r="L135" i="1"/>
  <c r="AL135" i="1" s="1"/>
  <c r="J135" i="1"/>
  <c r="BW133" i="1"/>
  <c r="BJ133" i="1"/>
  <c r="BD133" i="1"/>
  <c r="AP133" i="1"/>
  <c r="BI133" i="1" s="1"/>
  <c r="AE133" i="1" s="1"/>
  <c r="AO133" i="1"/>
  <c r="AW133" i="1" s="1"/>
  <c r="AK133" i="1"/>
  <c r="AJ133" i="1"/>
  <c r="AH133" i="1"/>
  <c r="AG133" i="1"/>
  <c r="AF133" i="1"/>
  <c r="AC133" i="1"/>
  <c r="AB133" i="1"/>
  <c r="Z133" i="1"/>
  <c r="O133" i="1"/>
  <c r="BF133" i="1" s="1"/>
  <c r="L133" i="1"/>
  <c r="J133" i="1"/>
  <c r="BW131" i="1"/>
  <c r="BJ131" i="1"/>
  <c r="BD131" i="1"/>
  <c r="AX131" i="1"/>
  <c r="AP131" i="1"/>
  <c r="AO131" i="1"/>
  <c r="AW131" i="1" s="1"/>
  <c r="AK131" i="1"/>
  <c r="AJ131" i="1"/>
  <c r="AH131" i="1"/>
  <c r="AG131" i="1"/>
  <c r="AF131" i="1"/>
  <c r="AC131" i="1"/>
  <c r="AB131" i="1"/>
  <c r="Z131" i="1"/>
  <c r="O131" i="1"/>
  <c r="L131" i="1"/>
  <c r="AL131" i="1" s="1"/>
  <c r="BW129" i="1"/>
  <c r="BJ129" i="1"/>
  <c r="Z129" i="1" s="1"/>
  <c r="BD129" i="1"/>
  <c r="AX129" i="1"/>
  <c r="AP129" i="1"/>
  <c r="AO129" i="1"/>
  <c r="AW129" i="1" s="1"/>
  <c r="BC129" i="1" s="1"/>
  <c r="AK129" i="1"/>
  <c r="AJ129" i="1"/>
  <c r="AH129" i="1"/>
  <c r="AG129" i="1"/>
  <c r="AF129" i="1"/>
  <c r="AE129" i="1"/>
  <c r="AD129" i="1"/>
  <c r="AC129" i="1"/>
  <c r="AB129" i="1"/>
  <c r="O129" i="1"/>
  <c r="BF129" i="1" s="1"/>
  <c r="L129" i="1"/>
  <c r="AL129" i="1" s="1"/>
  <c r="BW128" i="1"/>
  <c r="BJ128" i="1"/>
  <c r="BD128" i="1"/>
  <c r="AP128" i="1"/>
  <c r="BI128" i="1" s="1"/>
  <c r="AE128" i="1" s="1"/>
  <c r="AO128" i="1"/>
  <c r="BH128" i="1" s="1"/>
  <c r="AD128" i="1" s="1"/>
  <c r="AK128" i="1"/>
  <c r="AJ128" i="1"/>
  <c r="AH128" i="1"/>
  <c r="AG128" i="1"/>
  <c r="AF128" i="1"/>
  <c r="AC128" i="1"/>
  <c r="AB128" i="1"/>
  <c r="Z128" i="1"/>
  <c r="O128" i="1"/>
  <c r="BF128" i="1" s="1"/>
  <c r="L128" i="1"/>
  <c r="AL128" i="1" s="1"/>
  <c r="BW126" i="1"/>
  <c r="BJ126" i="1"/>
  <c r="BD126" i="1"/>
  <c r="AP126" i="1"/>
  <c r="BI126" i="1" s="1"/>
  <c r="AE126" i="1" s="1"/>
  <c r="AO126" i="1"/>
  <c r="AW126" i="1" s="1"/>
  <c r="AK126" i="1"/>
  <c r="AJ126" i="1"/>
  <c r="AH126" i="1"/>
  <c r="AG126" i="1"/>
  <c r="AF126" i="1"/>
  <c r="AC126" i="1"/>
  <c r="AB126" i="1"/>
  <c r="Z126" i="1"/>
  <c r="O126" i="1"/>
  <c r="BF126" i="1" s="1"/>
  <c r="L126" i="1"/>
  <c r="BW125" i="1"/>
  <c r="BJ125" i="1"/>
  <c r="BD125" i="1"/>
  <c r="AP125" i="1"/>
  <c r="AX125" i="1" s="1"/>
  <c r="AO125" i="1"/>
  <c r="AW125" i="1" s="1"/>
  <c r="AK125" i="1"/>
  <c r="AJ125" i="1"/>
  <c r="AH125" i="1"/>
  <c r="AG125" i="1"/>
  <c r="AF125" i="1"/>
  <c r="AC125" i="1"/>
  <c r="AB125" i="1"/>
  <c r="Z125" i="1"/>
  <c r="O125" i="1"/>
  <c r="BF125" i="1" s="1"/>
  <c r="L125" i="1"/>
  <c r="AL125" i="1" s="1"/>
  <c r="BW124" i="1"/>
  <c r="BJ124" i="1"/>
  <c r="BI124" i="1"/>
  <c r="AE124" i="1" s="1"/>
  <c r="BD124" i="1"/>
  <c r="AP124" i="1"/>
  <c r="K124" i="1" s="1"/>
  <c r="AO124" i="1"/>
  <c r="AW124" i="1" s="1"/>
  <c r="AK124" i="1"/>
  <c r="AJ124" i="1"/>
  <c r="AH124" i="1"/>
  <c r="AG124" i="1"/>
  <c r="AF124" i="1"/>
  <c r="AC124" i="1"/>
  <c r="AB124" i="1"/>
  <c r="Z124" i="1"/>
  <c r="O124" i="1"/>
  <c r="BF124" i="1" s="1"/>
  <c r="L124" i="1"/>
  <c r="AL124" i="1" s="1"/>
  <c r="J124" i="1"/>
  <c r="BW123" i="1"/>
  <c r="BJ123" i="1"/>
  <c r="BD123" i="1"/>
  <c r="AP123" i="1"/>
  <c r="BI123" i="1" s="1"/>
  <c r="AE123" i="1" s="1"/>
  <c r="AO123" i="1"/>
  <c r="BH123" i="1" s="1"/>
  <c r="AD123" i="1" s="1"/>
  <c r="AK123" i="1"/>
  <c r="AJ123" i="1"/>
  <c r="AH123" i="1"/>
  <c r="AG123" i="1"/>
  <c r="AF123" i="1"/>
  <c r="AC123" i="1"/>
  <c r="AB123" i="1"/>
  <c r="Z123" i="1"/>
  <c r="O123" i="1"/>
  <c r="BF123" i="1" s="1"/>
  <c r="L123" i="1"/>
  <c r="K123" i="1"/>
  <c r="J123" i="1"/>
  <c r="BW120" i="1"/>
  <c r="BJ120" i="1"/>
  <c r="BD120" i="1"/>
  <c r="AP120" i="1"/>
  <c r="AX120" i="1" s="1"/>
  <c r="AO120" i="1"/>
  <c r="AW120" i="1" s="1"/>
  <c r="AK120" i="1"/>
  <c r="AJ120" i="1"/>
  <c r="AH120" i="1"/>
  <c r="AG120" i="1"/>
  <c r="AF120" i="1"/>
  <c r="AC120" i="1"/>
  <c r="AB120" i="1"/>
  <c r="Z120" i="1"/>
  <c r="O120" i="1"/>
  <c r="BF120" i="1" s="1"/>
  <c r="L120" i="1"/>
  <c r="AL120" i="1" s="1"/>
  <c r="BW119" i="1"/>
  <c r="BJ119" i="1"/>
  <c r="BI119" i="1"/>
  <c r="AE119" i="1" s="1"/>
  <c r="BD119" i="1"/>
  <c r="AX119" i="1"/>
  <c r="AP119" i="1"/>
  <c r="K119" i="1" s="1"/>
  <c r="AO119" i="1"/>
  <c r="BH119" i="1" s="1"/>
  <c r="AD119" i="1" s="1"/>
  <c r="AK119" i="1"/>
  <c r="AJ119" i="1"/>
  <c r="AH119" i="1"/>
  <c r="AG119" i="1"/>
  <c r="AF119" i="1"/>
  <c r="AC119" i="1"/>
  <c r="AB119" i="1"/>
  <c r="Z119" i="1"/>
  <c r="O119" i="1"/>
  <c r="BF119" i="1" s="1"/>
  <c r="L119" i="1"/>
  <c r="AL119" i="1" s="1"/>
  <c r="BW118" i="1"/>
  <c r="BJ118" i="1"/>
  <c r="BD118" i="1"/>
  <c r="AP118" i="1"/>
  <c r="AX118" i="1" s="1"/>
  <c r="AO118" i="1"/>
  <c r="J118" i="1" s="1"/>
  <c r="AK118" i="1"/>
  <c r="AJ118" i="1"/>
  <c r="AH118" i="1"/>
  <c r="AG118" i="1"/>
  <c r="AF118" i="1"/>
  <c r="AC118" i="1"/>
  <c r="AB118" i="1"/>
  <c r="Z118" i="1"/>
  <c r="O118" i="1"/>
  <c r="BF118" i="1" s="1"/>
  <c r="L118" i="1"/>
  <c r="BW116" i="1"/>
  <c r="BJ116" i="1"/>
  <c r="BD116" i="1"/>
  <c r="AP116" i="1"/>
  <c r="K116" i="1" s="1"/>
  <c r="AO116" i="1"/>
  <c r="AW116" i="1" s="1"/>
  <c r="AK116" i="1"/>
  <c r="AJ116" i="1"/>
  <c r="AH116" i="1"/>
  <c r="AG116" i="1"/>
  <c r="AF116" i="1"/>
  <c r="AE116" i="1"/>
  <c r="AD116" i="1"/>
  <c r="AC116" i="1"/>
  <c r="AB116" i="1"/>
  <c r="Z116" i="1"/>
  <c r="O116" i="1"/>
  <c r="BF116" i="1" s="1"/>
  <c r="L116" i="1"/>
  <c r="BW114" i="1"/>
  <c r="BJ114" i="1"/>
  <c r="BD114" i="1"/>
  <c r="AP114" i="1"/>
  <c r="AX114" i="1" s="1"/>
  <c r="AO114" i="1"/>
  <c r="AW114" i="1" s="1"/>
  <c r="AK114" i="1"/>
  <c r="AJ114" i="1"/>
  <c r="AH114" i="1"/>
  <c r="AG114" i="1"/>
  <c r="AF114" i="1"/>
  <c r="AC114" i="1"/>
  <c r="AB114" i="1"/>
  <c r="Z114" i="1"/>
  <c r="O114" i="1"/>
  <c r="BF114" i="1" s="1"/>
  <c r="L114" i="1"/>
  <c r="AL114" i="1" s="1"/>
  <c r="J114" i="1"/>
  <c r="BW112" i="1"/>
  <c r="BJ112" i="1"/>
  <c r="BD112" i="1"/>
  <c r="AP112" i="1"/>
  <c r="BI112" i="1" s="1"/>
  <c r="AE112" i="1" s="1"/>
  <c r="AO112" i="1"/>
  <c r="BH112" i="1" s="1"/>
  <c r="AD112" i="1" s="1"/>
  <c r="AK112" i="1"/>
  <c r="AJ112" i="1"/>
  <c r="AH112" i="1"/>
  <c r="AG112" i="1"/>
  <c r="AF112" i="1"/>
  <c r="AC112" i="1"/>
  <c r="AB112" i="1"/>
  <c r="Z112" i="1"/>
  <c r="O112" i="1"/>
  <c r="BF112" i="1" s="1"/>
  <c r="L112" i="1"/>
  <c r="AL112" i="1" s="1"/>
  <c r="K112" i="1"/>
  <c r="BW111" i="1"/>
  <c r="BJ111" i="1"/>
  <c r="BD111" i="1"/>
  <c r="AP111" i="1"/>
  <c r="AX111" i="1" s="1"/>
  <c r="AO111" i="1"/>
  <c r="J111" i="1" s="1"/>
  <c r="AK111" i="1"/>
  <c r="AJ111" i="1"/>
  <c r="AH111" i="1"/>
  <c r="AG111" i="1"/>
  <c r="AF111" i="1"/>
  <c r="AC111" i="1"/>
  <c r="AB111" i="1"/>
  <c r="Z111" i="1"/>
  <c r="O111" i="1"/>
  <c r="BF111" i="1" s="1"/>
  <c r="L111" i="1"/>
  <c r="BW110" i="1"/>
  <c r="BJ110" i="1"/>
  <c r="BD110" i="1"/>
  <c r="AX110" i="1"/>
  <c r="AV110" i="1" s="1"/>
  <c r="AP110" i="1"/>
  <c r="AO110" i="1"/>
  <c r="AW110" i="1" s="1"/>
  <c r="AL110" i="1"/>
  <c r="AK110" i="1"/>
  <c r="AJ110" i="1"/>
  <c r="AH110" i="1"/>
  <c r="AG110" i="1"/>
  <c r="AF110" i="1"/>
  <c r="AC110" i="1"/>
  <c r="AB110" i="1"/>
  <c r="Z110" i="1"/>
  <c r="O110" i="1"/>
  <c r="BF110" i="1" s="1"/>
  <c r="M110" i="1"/>
  <c r="L110" i="1"/>
  <c r="BW109" i="1"/>
  <c r="BJ109" i="1"/>
  <c r="BD109" i="1"/>
  <c r="AP109" i="1"/>
  <c r="BI109" i="1" s="1"/>
  <c r="AE109" i="1" s="1"/>
  <c r="AO109" i="1"/>
  <c r="AW109" i="1" s="1"/>
  <c r="AK109" i="1"/>
  <c r="AJ109" i="1"/>
  <c r="AH109" i="1"/>
  <c r="AG109" i="1"/>
  <c r="AF109" i="1"/>
  <c r="AC109" i="1"/>
  <c r="AB109" i="1"/>
  <c r="Z109" i="1"/>
  <c r="O109" i="1"/>
  <c r="BF109" i="1" s="1"/>
  <c r="L109" i="1"/>
  <c r="AL109" i="1" s="1"/>
  <c r="K109" i="1"/>
  <c r="J109" i="1"/>
  <c r="BW108" i="1"/>
  <c r="BJ108" i="1"/>
  <c r="BH108" i="1"/>
  <c r="AD108" i="1" s="1"/>
  <c r="BD108" i="1"/>
  <c r="AW108" i="1"/>
  <c r="AP108" i="1"/>
  <c r="BI108" i="1" s="1"/>
  <c r="AE108" i="1" s="1"/>
  <c r="AO108" i="1"/>
  <c r="AK108" i="1"/>
  <c r="AJ108" i="1"/>
  <c r="AH108" i="1"/>
  <c r="AG108" i="1"/>
  <c r="AF108" i="1"/>
  <c r="AC108" i="1"/>
  <c r="AB108" i="1"/>
  <c r="Z108" i="1"/>
  <c r="O108" i="1"/>
  <c r="BF108" i="1" s="1"/>
  <c r="L108" i="1"/>
  <c r="J108" i="1"/>
  <c r="BW107" i="1"/>
  <c r="BJ107" i="1"/>
  <c r="BD107" i="1"/>
  <c r="AP107" i="1"/>
  <c r="AX107" i="1" s="1"/>
  <c r="AO107" i="1"/>
  <c r="AW107" i="1" s="1"/>
  <c r="AK107" i="1"/>
  <c r="AJ107" i="1"/>
  <c r="AH107" i="1"/>
  <c r="AG107" i="1"/>
  <c r="AF107" i="1"/>
  <c r="AC107" i="1"/>
  <c r="AB107" i="1"/>
  <c r="Z107" i="1"/>
  <c r="O107" i="1"/>
  <c r="BF107" i="1" s="1"/>
  <c r="L107" i="1"/>
  <c r="BW106" i="1"/>
  <c r="BJ106" i="1"/>
  <c r="BD106" i="1"/>
  <c r="AP106" i="1"/>
  <c r="BI106" i="1" s="1"/>
  <c r="AE106" i="1" s="1"/>
  <c r="AO106" i="1"/>
  <c r="AW106" i="1" s="1"/>
  <c r="AK106" i="1"/>
  <c r="AJ106" i="1"/>
  <c r="AH106" i="1"/>
  <c r="AG106" i="1"/>
  <c r="AF106" i="1"/>
  <c r="AC106" i="1"/>
  <c r="AB106" i="1"/>
  <c r="Z106" i="1"/>
  <c r="O106" i="1"/>
  <c r="BF106" i="1" s="1"/>
  <c r="L106" i="1"/>
  <c r="AL106" i="1" s="1"/>
  <c r="K106" i="1"/>
  <c r="BW104" i="1"/>
  <c r="BJ104" i="1"/>
  <c r="Z104" i="1" s="1"/>
  <c r="BD104" i="1"/>
  <c r="AP104" i="1"/>
  <c r="AX104" i="1" s="1"/>
  <c r="AO104" i="1"/>
  <c r="BH104" i="1" s="1"/>
  <c r="AK104" i="1"/>
  <c r="AJ104" i="1"/>
  <c r="AH104" i="1"/>
  <c r="AG104" i="1"/>
  <c r="AF104" i="1"/>
  <c r="AE104" i="1"/>
  <c r="AD104" i="1"/>
  <c r="AC104" i="1"/>
  <c r="AB104" i="1"/>
  <c r="O104" i="1"/>
  <c r="BF104" i="1" s="1"/>
  <c r="L104" i="1"/>
  <c r="M104" i="1" s="1"/>
  <c r="J104" i="1"/>
  <c r="BW101" i="1"/>
  <c r="BJ101" i="1"/>
  <c r="BD101" i="1"/>
  <c r="AP101" i="1"/>
  <c r="BI101" i="1" s="1"/>
  <c r="AE101" i="1" s="1"/>
  <c r="AO101" i="1"/>
  <c r="AW101" i="1" s="1"/>
  <c r="AK101" i="1"/>
  <c r="AJ101" i="1"/>
  <c r="AH101" i="1"/>
  <c r="AG101" i="1"/>
  <c r="AF101" i="1"/>
  <c r="AC101" i="1"/>
  <c r="AB101" i="1"/>
  <c r="Z101" i="1"/>
  <c r="O101" i="1"/>
  <c r="BF101" i="1" s="1"/>
  <c r="L101" i="1"/>
  <c r="BW99" i="1"/>
  <c r="BJ99" i="1"/>
  <c r="BD99" i="1"/>
  <c r="AX99" i="1"/>
  <c r="AP99" i="1"/>
  <c r="AO99" i="1"/>
  <c r="AW99" i="1" s="1"/>
  <c r="AK99" i="1"/>
  <c r="AJ99" i="1"/>
  <c r="AH99" i="1"/>
  <c r="AG99" i="1"/>
  <c r="AF99" i="1"/>
  <c r="AC99" i="1"/>
  <c r="AB99" i="1"/>
  <c r="Z99" i="1"/>
  <c r="O99" i="1"/>
  <c r="BF99" i="1" s="1"/>
  <c r="L99" i="1"/>
  <c r="AL99" i="1" s="1"/>
  <c r="BW97" i="1"/>
  <c r="BJ97" i="1"/>
  <c r="Z97" i="1" s="1"/>
  <c r="BD97" i="1"/>
  <c r="AP97" i="1"/>
  <c r="AX97" i="1" s="1"/>
  <c r="AV97" i="1" s="1"/>
  <c r="AO97" i="1"/>
  <c r="AW97" i="1" s="1"/>
  <c r="AK97" i="1"/>
  <c r="AJ97" i="1"/>
  <c r="AH97" i="1"/>
  <c r="AG97" i="1"/>
  <c r="AF97" i="1"/>
  <c r="AE97" i="1"/>
  <c r="AD97" i="1"/>
  <c r="AC97" i="1"/>
  <c r="AB97" i="1"/>
  <c r="O97" i="1"/>
  <c r="BF97" i="1" s="1"/>
  <c r="L97" i="1"/>
  <c r="AL97" i="1" s="1"/>
  <c r="BW96" i="1"/>
  <c r="BJ96" i="1"/>
  <c r="BD96" i="1"/>
  <c r="AP96" i="1"/>
  <c r="AX96" i="1" s="1"/>
  <c r="AO96" i="1"/>
  <c r="AW96" i="1" s="1"/>
  <c r="AK96" i="1"/>
  <c r="AJ96" i="1"/>
  <c r="AH96" i="1"/>
  <c r="AG96" i="1"/>
  <c r="AF96" i="1"/>
  <c r="AE96" i="1"/>
  <c r="AD96" i="1"/>
  <c r="Z96" i="1"/>
  <c r="O96" i="1"/>
  <c r="BF96" i="1" s="1"/>
  <c r="L96" i="1"/>
  <c r="AL96" i="1" s="1"/>
  <c r="K96" i="1"/>
  <c r="J96" i="1"/>
  <c r="BW94" i="1"/>
  <c r="BJ94" i="1"/>
  <c r="BD94" i="1"/>
  <c r="AP94" i="1"/>
  <c r="BI94" i="1" s="1"/>
  <c r="AC94" i="1" s="1"/>
  <c r="AO94" i="1"/>
  <c r="BH94" i="1" s="1"/>
  <c r="AB94" i="1" s="1"/>
  <c r="AK94" i="1"/>
  <c r="AJ94" i="1"/>
  <c r="AH94" i="1"/>
  <c r="AG94" i="1"/>
  <c r="AF94" i="1"/>
  <c r="AE94" i="1"/>
  <c r="AD94" i="1"/>
  <c r="Z94" i="1"/>
  <c r="O94" i="1"/>
  <c r="O93" i="1" s="1"/>
  <c r="G18" i="3" s="1"/>
  <c r="L94" i="1"/>
  <c r="J94" i="1"/>
  <c r="BW92" i="1"/>
  <c r="BJ92" i="1"/>
  <c r="Z92" i="1" s="1"/>
  <c r="BD92" i="1"/>
  <c r="AP92" i="1"/>
  <c r="AX92" i="1" s="1"/>
  <c r="AO92" i="1"/>
  <c r="J92" i="1" s="1"/>
  <c r="AK92" i="1"/>
  <c r="AJ92" i="1"/>
  <c r="AS85" i="1" s="1"/>
  <c r="AH92" i="1"/>
  <c r="AG92" i="1"/>
  <c r="AF92" i="1"/>
  <c r="AE92" i="1"/>
  <c r="AD92" i="1"/>
  <c r="AC92" i="1"/>
  <c r="AB92" i="1"/>
  <c r="O92" i="1"/>
  <c r="BF92" i="1" s="1"/>
  <c r="L92" i="1"/>
  <c r="BW89" i="1"/>
  <c r="BJ89" i="1"/>
  <c r="BD89" i="1"/>
  <c r="AP89" i="1"/>
  <c r="AX89" i="1" s="1"/>
  <c r="AO89" i="1"/>
  <c r="AW89" i="1" s="1"/>
  <c r="AK89" i="1"/>
  <c r="AJ89" i="1"/>
  <c r="AH89" i="1"/>
  <c r="AG89" i="1"/>
  <c r="AF89" i="1"/>
  <c r="AE89" i="1"/>
  <c r="AD89" i="1"/>
  <c r="Z89" i="1"/>
  <c r="O89" i="1"/>
  <c r="BF89" i="1" s="1"/>
  <c r="L89" i="1"/>
  <c r="AL89" i="1" s="1"/>
  <c r="BW86" i="1"/>
  <c r="BJ86" i="1"/>
  <c r="BD86" i="1"/>
  <c r="AP86" i="1"/>
  <c r="AX86" i="1" s="1"/>
  <c r="AO86" i="1"/>
  <c r="AW86" i="1" s="1"/>
  <c r="AK86" i="1"/>
  <c r="AJ86" i="1"/>
  <c r="AH86" i="1"/>
  <c r="AG86" i="1"/>
  <c r="AF86" i="1"/>
  <c r="AE86" i="1"/>
  <c r="AD86" i="1"/>
  <c r="Z86" i="1"/>
  <c r="O86" i="1"/>
  <c r="BF86" i="1" s="1"/>
  <c r="L86" i="1"/>
  <c r="AL86" i="1" s="1"/>
  <c r="K86" i="1"/>
  <c r="J86" i="1"/>
  <c r="AT85" i="1"/>
  <c r="BW84" i="1"/>
  <c r="BJ84" i="1"/>
  <c r="Z84" i="1" s="1"/>
  <c r="BD84" i="1"/>
  <c r="AP84" i="1"/>
  <c r="AX84" i="1" s="1"/>
  <c r="AO84" i="1"/>
  <c r="BH84" i="1" s="1"/>
  <c r="AK84" i="1"/>
  <c r="AJ84" i="1"/>
  <c r="AH84" i="1"/>
  <c r="AG84" i="1"/>
  <c r="AF84" i="1"/>
  <c r="AE84" i="1"/>
  <c r="AD84" i="1"/>
  <c r="AC84" i="1"/>
  <c r="AB84" i="1"/>
  <c r="O84" i="1"/>
  <c r="BF84" i="1" s="1"/>
  <c r="L84" i="1"/>
  <c r="AL84" i="1" s="1"/>
  <c r="BW82" i="1"/>
  <c r="BJ82" i="1"/>
  <c r="BD82" i="1"/>
  <c r="AP82" i="1"/>
  <c r="AX82" i="1" s="1"/>
  <c r="AO82" i="1"/>
  <c r="BH82" i="1" s="1"/>
  <c r="AB82" i="1" s="1"/>
  <c r="AK82" i="1"/>
  <c r="AJ82" i="1"/>
  <c r="AH82" i="1"/>
  <c r="AG82" i="1"/>
  <c r="AF82" i="1"/>
  <c r="AE82" i="1"/>
  <c r="AD82" i="1"/>
  <c r="Z82" i="1"/>
  <c r="O82" i="1"/>
  <c r="BF82" i="1" s="1"/>
  <c r="L82" i="1"/>
  <c r="AL82" i="1" s="1"/>
  <c r="K82" i="1"/>
  <c r="BW80" i="1"/>
  <c r="BJ80" i="1"/>
  <c r="BD80" i="1"/>
  <c r="AP80" i="1"/>
  <c r="BI80" i="1" s="1"/>
  <c r="AC80" i="1" s="1"/>
  <c r="AO80" i="1"/>
  <c r="BH80" i="1" s="1"/>
  <c r="AB80" i="1" s="1"/>
  <c r="AK80" i="1"/>
  <c r="AT79" i="1" s="1"/>
  <c r="AJ80" i="1"/>
  <c r="AH80" i="1"/>
  <c r="AG80" i="1"/>
  <c r="AF80" i="1"/>
  <c r="AE80" i="1"/>
  <c r="AD80" i="1"/>
  <c r="Z80" i="1"/>
  <c r="O80" i="1"/>
  <c r="BF80" i="1" s="1"/>
  <c r="L80" i="1"/>
  <c r="L79" i="1" s="1"/>
  <c r="F16" i="3" s="1"/>
  <c r="I16" i="3" s="1"/>
  <c r="J80" i="1"/>
  <c r="O79" i="1"/>
  <c r="G16" i="3" s="1"/>
  <c r="BW78" i="1"/>
  <c r="BJ78" i="1"/>
  <c r="BD78" i="1"/>
  <c r="AP78" i="1"/>
  <c r="BI78" i="1" s="1"/>
  <c r="AO78" i="1"/>
  <c r="AW78" i="1" s="1"/>
  <c r="AK78" i="1"/>
  <c r="AJ78" i="1"/>
  <c r="AH78" i="1"/>
  <c r="AG78" i="1"/>
  <c r="AF78" i="1"/>
  <c r="AE78" i="1"/>
  <c r="AD78" i="1"/>
  <c r="AC78" i="1"/>
  <c r="AB78" i="1"/>
  <c r="Z78" i="1"/>
  <c r="O78" i="1"/>
  <c r="BF78" i="1" s="1"/>
  <c r="L78" i="1"/>
  <c r="AL78" i="1" s="1"/>
  <c r="BW76" i="1"/>
  <c r="BJ76" i="1"/>
  <c r="BD76" i="1"/>
  <c r="AP76" i="1"/>
  <c r="AX76" i="1" s="1"/>
  <c r="AO76" i="1"/>
  <c r="AW76" i="1" s="1"/>
  <c r="AV76" i="1" s="1"/>
  <c r="AK76" i="1"/>
  <c r="AJ76" i="1"/>
  <c r="AH76" i="1"/>
  <c r="AG76" i="1"/>
  <c r="AF76" i="1"/>
  <c r="AE76" i="1"/>
  <c r="AD76" i="1"/>
  <c r="Z76" i="1"/>
  <c r="O76" i="1"/>
  <c r="BF76" i="1" s="1"/>
  <c r="L76" i="1"/>
  <c r="AL76" i="1" s="1"/>
  <c r="K76" i="1"/>
  <c r="J76" i="1"/>
  <c r="BW74" i="1"/>
  <c r="BJ74" i="1"/>
  <c r="BI74" i="1"/>
  <c r="BD74" i="1"/>
  <c r="AP74" i="1"/>
  <c r="AX74" i="1" s="1"/>
  <c r="AO74" i="1"/>
  <c r="BH74" i="1" s="1"/>
  <c r="AB74" i="1" s="1"/>
  <c r="AK74" i="1"/>
  <c r="AJ74" i="1"/>
  <c r="AH74" i="1"/>
  <c r="AG74" i="1"/>
  <c r="AF74" i="1"/>
  <c r="AE74" i="1"/>
  <c r="AD74" i="1"/>
  <c r="AC74" i="1"/>
  <c r="Z74" i="1"/>
  <c r="O74" i="1"/>
  <c r="BF74" i="1" s="1"/>
  <c r="L74" i="1"/>
  <c r="AL74" i="1" s="1"/>
  <c r="K74" i="1"/>
  <c r="BW72" i="1"/>
  <c r="BJ72" i="1"/>
  <c r="BF72" i="1"/>
  <c r="BD72" i="1"/>
  <c r="AW72" i="1"/>
  <c r="AP72" i="1"/>
  <c r="BI72" i="1" s="1"/>
  <c r="AC72" i="1" s="1"/>
  <c r="AO72" i="1"/>
  <c r="BH72" i="1" s="1"/>
  <c r="AB72" i="1" s="1"/>
  <c r="AK72" i="1"/>
  <c r="AJ72" i="1"/>
  <c r="AH72" i="1"/>
  <c r="AG72" i="1"/>
  <c r="AF72" i="1"/>
  <c r="AE72" i="1"/>
  <c r="AD72" i="1"/>
  <c r="Z72" i="1"/>
  <c r="O72" i="1"/>
  <c r="L72" i="1"/>
  <c r="AL72" i="1" s="1"/>
  <c r="J72" i="1"/>
  <c r="BW70" i="1"/>
  <c r="BJ70" i="1"/>
  <c r="BI70" i="1"/>
  <c r="BD70" i="1"/>
  <c r="AP70" i="1"/>
  <c r="AX70" i="1" s="1"/>
  <c r="AO70" i="1"/>
  <c r="AW70" i="1" s="1"/>
  <c r="AK70" i="1"/>
  <c r="AJ70" i="1"/>
  <c r="AH70" i="1"/>
  <c r="AG70" i="1"/>
  <c r="AF70" i="1"/>
  <c r="AE70" i="1"/>
  <c r="AD70" i="1"/>
  <c r="AC70" i="1"/>
  <c r="Z70" i="1"/>
  <c r="O70" i="1"/>
  <c r="BF70" i="1" s="1"/>
  <c r="L70" i="1"/>
  <c r="AL70" i="1" s="1"/>
  <c r="BW68" i="1"/>
  <c r="M68" i="1" s="1"/>
  <c r="M67" i="1" s="1"/>
  <c r="BJ68" i="1"/>
  <c r="BD68" i="1"/>
  <c r="AP68" i="1"/>
  <c r="AX68" i="1" s="1"/>
  <c r="AO68" i="1"/>
  <c r="BH68" i="1" s="1"/>
  <c r="AF68" i="1" s="1"/>
  <c r="AK68" i="1"/>
  <c r="AJ68" i="1"/>
  <c r="AS67" i="1" s="1"/>
  <c r="AH68" i="1"/>
  <c r="AE68" i="1"/>
  <c r="AD68" i="1"/>
  <c r="AC68" i="1"/>
  <c r="AB68" i="1"/>
  <c r="Z68" i="1"/>
  <c r="O68" i="1"/>
  <c r="BF68" i="1" s="1"/>
  <c r="L68" i="1"/>
  <c r="AL68" i="1" s="1"/>
  <c r="AU67" i="1" s="1"/>
  <c r="K68" i="1"/>
  <c r="K67" i="1" s="1"/>
  <c r="E14" i="3" s="1"/>
  <c r="J68" i="1"/>
  <c r="J67" i="1" s="1"/>
  <c r="D14" i="3" s="1"/>
  <c r="AT67" i="1"/>
  <c r="L67" i="1"/>
  <c r="F14" i="3" s="1"/>
  <c r="I14" i="3" s="1"/>
  <c r="BW65" i="1"/>
  <c r="BJ65" i="1"/>
  <c r="BI65" i="1"/>
  <c r="AC65" i="1" s="1"/>
  <c r="BD65" i="1"/>
  <c r="AP65" i="1"/>
  <c r="AX65" i="1" s="1"/>
  <c r="AO65" i="1"/>
  <c r="AW65" i="1" s="1"/>
  <c r="AK65" i="1"/>
  <c r="AJ65" i="1"/>
  <c r="AH65" i="1"/>
  <c r="AG65" i="1"/>
  <c r="AF65" i="1"/>
  <c r="AE65" i="1"/>
  <c r="AD65" i="1"/>
  <c r="Z65" i="1"/>
  <c r="O65" i="1"/>
  <c r="BF65" i="1" s="1"/>
  <c r="M65" i="1"/>
  <c r="L65" i="1"/>
  <c r="AL65" i="1" s="1"/>
  <c r="J65" i="1"/>
  <c r="BW63" i="1"/>
  <c r="BJ63" i="1"/>
  <c r="BD63" i="1"/>
  <c r="AP63" i="1"/>
  <c r="AX63" i="1" s="1"/>
  <c r="AO63" i="1"/>
  <c r="BH63" i="1" s="1"/>
  <c r="AB63" i="1" s="1"/>
  <c r="AK63" i="1"/>
  <c r="AJ63" i="1"/>
  <c r="AH63" i="1"/>
  <c r="AG63" i="1"/>
  <c r="AF63" i="1"/>
  <c r="AE63" i="1"/>
  <c r="AD63" i="1"/>
  <c r="Z63" i="1"/>
  <c r="O63" i="1"/>
  <c r="BF63" i="1" s="1"/>
  <c r="L63" i="1"/>
  <c r="AL63" i="1" s="1"/>
  <c r="K63" i="1"/>
  <c r="BW61" i="1"/>
  <c r="BJ61" i="1"/>
  <c r="BF61" i="1"/>
  <c r="BD61" i="1"/>
  <c r="AP61" i="1"/>
  <c r="BI61" i="1" s="1"/>
  <c r="AC61" i="1" s="1"/>
  <c r="AO61" i="1"/>
  <c r="BH61" i="1" s="1"/>
  <c r="AB61" i="1" s="1"/>
  <c r="AK61" i="1"/>
  <c r="AJ61" i="1"/>
  <c r="AH61" i="1"/>
  <c r="AG61" i="1"/>
  <c r="AF61" i="1"/>
  <c r="AE61" i="1"/>
  <c r="AD61" i="1"/>
  <c r="Z61" i="1"/>
  <c r="O61" i="1"/>
  <c r="L61" i="1"/>
  <c r="AL61" i="1" s="1"/>
  <c r="J61" i="1"/>
  <c r="BW59" i="1"/>
  <c r="BJ59" i="1"/>
  <c r="BD59" i="1"/>
  <c r="AP59" i="1"/>
  <c r="AX59" i="1" s="1"/>
  <c r="AO59" i="1"/>
  <c r="AW59" i="1" s="1"/>
  <c r="AK59" i="1"/>
  <c r="AJ59" i="1"/>
  <c r="AH59" i="1"/>
  <c r="AG59" i="1"/>
  <c r="AF59" i="1"/>
  <c r="AE59" i="1"/>
  <c r="AD59" i="1"/>
  <c r="Z59" i="1"/>
  <c r="O59" i="1"/>
  <c r="BF59" i="1" s="1"/>
  <c r="L59" i="1"/>
  <c r="AL59" i="1" s="1"/>
  <c r="J59" i="1"/>
  <c r="BW57" i="1"/>
  <c r="BJ57" i="1"/>
  <c r="BD57" i="1"/>
  <c r="AP57" i="1"/>
  <c r="AX57" i="1" s="1"/>
  <c r="AO57" i="1"/>
  <c r="BH57" i="1" s="1"/>
  <c r="AB57" i="1" s="1"/>
  <c r="AK57" i="1"/>
  <c r="AJ57" i="1"/>
  <c r="AH57" i="1"/>
  <c r="AG57" i="1"/>
  <c r="AF57" i="1"/>
  <c r="AE57" i="1"/>
  <c r="AD57" i="1"/>
  <c r="Z57" i="1"/>
  <c r="O57" i="1"/>
  <c r="BF57" i="1" s="1"/>
  <c r="L57" i="1"/>
  <c r="AL57" i="1" s="1"/>
  <c r="K57" i="1"/>
  <c r="BW55" i="1"/>
  <c r="BJ55" i="1"/>
  <c r="BD55" i="1"/>
  <c r="AP55" i="1"/>
  <c r="BI55" i="1" s="1"/>
  <c r="AC55" i="1" s="1"/>
  <c r="AO55" i="1"/>
  <c r="AW55" i="1" s="1"/>
  <c r="AK55" i="1"/>
  <c r="AJ55" i="1"/>
  <c r="AH55" i="1"/>
  <c r="AG55" i="1"/>
  <c r="AF55" i="1"/>
  <c r="AE55" i="1"/>
  <c r="AD55" i="1"/>
  <c r="Z55" i="1"/>
  <c r="O55" i="1"/>
  <c r="BF55" i="1" s="1"/>
  <c r="L55" i="1"/>
  <c r="AL55" i="1" s="1"/>
  <c r="J55" i="1"/>
  <c r="BW53" i="1"/>
  <c r="BJ53" i="1"/>
  <c r="BD53" i="1"/>
  <c r="AW53" i="1"/>
  <c r="AP53" i="1"/>
  <c r="BI53" i="1" s="1"/>
  <c r="AC53" i="1" s="1"/>
  <c r="AO53" i="1"/>
  <c r="BH53" i="1" s="1"/>
  <c r="AB53" i="1" s="1"/>
  <c r="AK53" i="1"/>
  <c r="AJ53" i="1"/>
  <c r="AH53" i="1"/>
  <c r="AG53" i="1"/>
  <c r="AF53" i="1"/>
  <c r="AE53" i="1"/>
  <c r="AD53" i="1"/>
  <c r="Z53" i="1"/>
  <c r="O53" i="1"/>
  <c r="BF53" i="1" s="1"/>
  <c r="L53" i="1"/>
  <c r="AL53" i="1" s="1"/>
  <c r="K53" i="1"/>
  <c r="J53" i="1"/>
  <c r="BW51" i="1"/>
  <c r="BJ51" i="1"/>
  <c r="Z51" i="1" s="1"/>
  <c r="BD51" i="1"/>
  <c r="AX51" i="1"/>
  <c r="AW51" i="1"/>
  <c r="AV51" i="1" s="1"/>
  <c r="AP51" i="1"/>
  <c r="BI51" i="1" s="1"/>
  <c r="AO51" i="1"/>
  <c r="BH51" i="1" s="1"/>
  <c r="AK51" i="1"/>
  <c r="AJ51" i="1"/>
  <c r="AH51" i="1"/>
  <c r="AG51" i="1"/>
  <c r="AF51" i="1"/>
  <c r="AE51" i="1"/>
  <c r="AD51" i="1"/>
  <c r="AC51" i="1"/>
  <c r="AB51" i="1"/>
  <c r="O51" i="1"/>
  <c r="BF51" i="1" s="1"/>
  <c r="L51" i="1"/>
  <c r="AL51" i="1" s="1"/>
  <c r="K51" i="1"/>
  <c r="J51" i="1"/>
  <c r="BW50" i="1"/>
  <c r="BJ50" i="1"/>
  <c r="BD50" i="1"/>
  <c r="AW50" i="1"/>
  <c r="AP50" i="1"/>
  <c r="AX50" i="1" s="1"/>
  <c r="AO50" i="1"/>
  <c r="BH50" i="1" s="1"/>
  <c r="AK50" i="1"/>
  <c r="AJ50" i="1"/>
  <c r="AH50" i="1"/>
  <c r="AG50" i="1"/>
  <c r="AF50" i="1"/>
  <c r="AE50" i="1"/>
  <c r="AD50" i="1"/>
  <c r="AC50" i="1"/>
  <c r="AB50" i="1"/>
  <c r="Z50" i="1"/>
  <c r="O50" i="1"/>
  <c r="BF50" i="1" s="1"/>
  <c r="L50" i="1"/>
  <c r="AL50" i="1" s="1"/>
  <c r="BW49" i="1"/>
  <c r="BJ49" i="1"/>
  <c r="BD49" i="1"/>
  <c r="AP49" i="1"/>
  <c r="BI49" i="1" s="1"/>
  <c r="AO49" i="1"/>
  <c r="AW49" i="1" s="1"/>
  <c r="AK49" i="1"/>
  <c r="AJ49" i="1"/>
  <c r="AH49" i="1"/>
  <c r="AG49" i="1"/>
  <c r="AF49" i="1"/>
  <c r="AE49" i="1"/>
  <c r="AD49" i="1"/>
  <c r="AC49" i="1"/>
  <c r="AB49" i="1"/>
  <c r="Z49" i="1"/>
  <c r="O49" i="1"/>
  <c r="BF49" i="1" s="1"/>
  <c r="L49" i="1"/>
  <c r="AL49" i="1" s="1"/>
  <c r="BW48" i="1"/>
  <c r="BJ48" i="1"/>
  <c r="Z48" i="1" s="1"/>
  <c r="BD48" i="1"/>
  <c r="AX48" i="1"/>
  <c r="AW48" i="1"/>
  <c r="AV48" i="1" s="1"/>
  <c r="AP48" i="1"/>
  <c r="BI48" i="1" s="1"/>
  <c r="AO48" i="1"/>
  <c r="BH48" i="1" s="1"/>
  <c r="AK48" i="1"/>
  <c r="AJ48" i="1"/>
  <c r="AH48" i="1"/>
  <c r="AG48" i="1"/>
  <c r="AF48" i="1"/>
  <c r="AE48" i="1"/>
  <c r="AD48" i="1"/>
  <c r="AC48" i="1"/>
  <c r="AB48" i="1"/>
  <c r="O48" i="1"/>
  <c r="BF48" i="1" s="1"/>
  <c r="L48" i="1"/>
  <c r="AL48" i="1" s="1"/>
  <c r="K48" i="1"/>
  <c r="J48" i="1"/>
  <c r="BW47" i="1"/>
  <c r="BJ47" i="1"/>
  <c r="BD47" i="1"/>
  <c r="AW47" i="1"/>
  <c r="AP47" i="1"/>
  <c r="AX47" i="1" s="1"/>
  <c r="AO47" i="1"/>
  <c r="BH47" i="1" s="1"/>
  <c r="AK47" i="1"/>
  <c r="AJ47" i="1"/>
  <c r="AH47" i="1"/>
  <c r="AG47" i="1"/>
  <c r="AF47" i="1"/>
  <c r="AE47" i="1"/>
  <c r="AD47" i="1"/>
  <c r="AC47" i="1"/>
  <c r="AB47" i="1"/>
  <c r="Z47" i="1"/>
  <c r="O47" i="1"/>
  <c r="BF47" i="1" s="1"/>
  <c r="L47" i="1"/>
  <c r="AL47" i="1" s="1"/>
  <c r="BW46" i="1"/>
  <c r="BJ46" i="1"/>
  <c r="Z46" i="1" s="1"/>
  <c r="BD46" i="1"/>
  <c r="AP46" i="1"/>
  <c r="BI46" i="1" s="1"/>
  <c r="AO46" i="1"/>
  <c r="AW46" i="1" s="1"/>
  <c r="AK46" i="1"/>
  <c r="AJ46" i="1"/>
  <c r="AH46" i="1"/>
  <c r="AG46" i="1"/>
  <c r="AF46" i="1"/>
  <c r="AE46" i="1"/>
  <c r="AD46" i="1"/>
  <c r="AC46" i="1"/>
  <c r="AB46" i="1"/>
  <c r="O46" i="1"/>
  <c r="BF46" i="1" s="1"/>
  <c r="L46" i="1"/>
  <c r="M46" i="1" s="1"/>
  <c r="BW45" i="1"/>
  <c r="BJ45" i="1"/>
  <c r="Z45" i="1" s="1"/>
  <c r="BD45" i="1"/>
  <c r="AP45" i="1"/>
  <c r="AX45" i="1" s="1"/>
  <c r="AO45" i="1"/>
  <c r="BH45" i="1" s="1"/>
  <c r="AK45" i="1"/>
  <c r="AJ45" i="1"/>
  <c r="AH45" i="1"/>
  <c r="AG45" i="1"/>
  <c r="AF45" i="1"/>
  <c r="AE45" i="1"/>
  <c r="AD45" i="1"/>
  <c r="AC45" i="1"/>
  <c r="AB45" i="1"/>
  <c r="O45" i="1"/>
  <c r="BF45" i="1" s="1"/>
  <c r="M45" i="1"/>
  <c r="L45" i="1"/>
  <c r="AL45" i="1" s="1"/>
  <c r="BW44" i="1"/>
  <c r="BJ44" i="1"/>
  <c r="BF44" i="1"/>
  <c r="BD44" i="1"/>
  <c r="AW44" i="1"/>
  <c r="AP44" i="1"/>
  <c r="AX44" i="1" s="1"/>
  <c r="AO44" i="1"/>
  <c r="BH44" i="1" s="1"/>
  <c r="AK44" i="1"/>
  <c r="AJ44" i="1"/>
  <c r="AH44" i="1"/>
  <c r="AG44" i="1"/>
  <c r="AF44" i="1"/>
  <c r="AE44" i="1"/>
  <c r="AD44" i="1"/>
  <c r="AC44" i="1"/>
  <c r="AB44" i="1"/>
  <c r="Z44" i="1"/>
  <c r="O44" i="1"/>
  <c r="L44" i="1"/>
  <c r="AL44" i="1" s="1"/>
  <c r="K44" i="1"/>
  <c r="BW43" i="1"/>
  <c r="BJ43" i="1"/>
  <c r="Z43" i="1" s="1"/>
  <c r="BF43" i="1"/>
  <c r="BD43" i="1"/>
  <c r="AP43" i="1"/>
  <c r="BI43" i="1" s="1"/>
  <c r="AO43" i="1"/>
  <c r="AW43" i="1" s="1"/>
  <c r="AK43" i="1"/>
  <c r="AJ43" i="1"/>
  <c r="AH43" i="1"/>
  <c r="AG43" i="1"/>
  <c r="AF43" i="1"/>
  <c r="AE43" i="1"/>
  <c r="AD43" i="1"/>
  <c r="AC43" i="1"/>
  <c r="AB43" i="1"/>
  <c r="O43" i="1"/>
  <c r="L43" i="1"/>
  <c r="AL43" i="1" s="1"/>
  <c r="BW42" i="1"/>
  <c r="BJ42" i="1"/>
  <c r="Z42" i="1" s="1"/>
  <c r="BD42" i="1"/>
  <c r="AW42" i="1"/>
  <c r="AP42" i="1"/>
  <c r="BI42" i="1" s="1"/>
  <c r="AO42" i="1"/>
  <c r="BH42" i="1" s="1"/>
  <c r="AK42" i="1"/>
  <c r="AJ42" i="1"/>
  <c r="AH42" i="1"/>
  <c r="AG42" i="1"/>
  <c r="AF42" i="1"/>
  <c r="AE42" i="1"/>
  <c r="AD42" i="1"/>
  <c r="AC42" i="1"/>
  <c r="AB42" i="1"/>
  <c r="O42" i="1"/>
  <c r="BF42" i="1" s="1"/>
  <c r="L42" i="1"/>
  <c r="AL42" i="1" s="1"/>
  <c r="J42" i="1"/>
  <c r="BW41" i="1"/>
  <c r="BJ41" i="1"/>
  <c r="BF41" i="1"/>
  <c r="BD41" i="1"/>
  <c r="AW41" i="1"/>
  <c r="AP41" i="1"/>
  <c r="AX41" i="1" s="1"/>
  <c r="AO41" i="1"/>
  <c r="BH41" i="1" s="1"/>
  <c r="AK41" i="1"/>
  <c r="AJ41" i="1"/>
  <c r="AH41" i="1"/>
  <c r="AG41" i="1"/>
  <c r="AF41" i="1"/>
  <c r="AE41" i="1"/>
  <c r="AD41" i="1"/>
  <c r="AC41" i="1"/>
  <c r="AB41" i="1"/>
  <c r="Z41" i="1"/>
  <c r="O41" i="1"/>
  <c r="L41" i="1"/>
  <c r="AL41" i="1" s="1"/>
  <c r="BW40" i="1"/>
  <c r="BJ40" i="1"/>
  <c r="BD40" i="1"/>
  <c r="AP40" i="1"/>
  <c r="BI40" i="1" s="1"/>
  <c r="AC40" i="1" s="1"/>
  <c r="AO40" i="1"/>
  <c r="AW40" i="1" s="1"/>
  <c r="AK40" i="1"/>
  <c r="AJ40" i="1"/>
  <c r="AH40" i="1"/>
  <c r="AG40" i="1"/>
  <c r="AF40" i="1"/>
  <c r="AE40" i="1"/>
  <c r="AD40" i="1"/>
  <c r="Z40" i="1"/>
  <c r="O40" i="1"/>
  <c r="BF40" i="1" s="1"/>
  <c r="M40" i="1"/>
  <c r="L40" i="1"/>
  <c r="AL40" i="1" s="1"/>
  <c r="BW39" i="1"/>
  <c r="BJ39" i="1"/>
  <c r="BD39" i="1"/>
  <c r="AP39" i="1"/>
  <c r="BI39" i="1" s="1"/>
  <c r="AC39" i="1" s="1"/>
  <c r="AO39" i="1"/>
  <c r="BH39" i="1" s="1"/>
  <c r="AB39" i="1" s="1"/>
  <c r="AK39" i="1"/>
  <c r="AJ39" i="1"/>
  <c r="AH39" i="1"/>
  <c r="AG39" i="1"/>
  <c r="AF39" i="1"/>
  <c r="AE39" i="1"/>
  <c r="AD39" i="1"/>
  <c r="Z39" i="1"/>
  <c r="O39" i="1"/>
  <c r="BF39" i="1" s="1"/>
  <c r="L39" i="1"/>
  <c r="AL39" i="1" s="1"/>
  <c r="BW38" i="1"/>
  <c r="BJ38" i="1"/>
  <c r="BD38" i="1"/>
  <c r="AP38" i="1"/>
  <c r="AX38" i="1" s="1"/>
  <c r="AO38" i="1"/>
  <c r="BH38" i="1" s="1"/>
  <c r="AB38" i="1" s="1"/>
  <c r="AK38" i="1"/>
  <c r="AJ38" i="1"/>
  <c r="AH38" i="1"/>
  <c r="AG38" i="1"/>
  <c r="AF38" i="1"/>
  <c r="AE38" i="1"/>
  <c r="AD38" i="1"/>
  <c r="Z38" i="1"/>
  <c r="O38" i="1"/>
  <c r="BF38" i="1" s="1"/>
  <c r="L38" i="1"/>
  <c r="AL38" i="1" s="1"/>
  <c r="K38" i="1"/>
  <c r="BW37" i="1"/>
  <c r="BJ37" i="1"/>
  <c r="BF37" i="1"/>
  <c r="BD37" i="1"/>
  <c r="AP37" i="1"/>
  <c r="BI37" i="1" s="1"/>
  <c r="AC37" i="1" s="1"/>
  <c r="AO37" i="1"/>
  <c r="AW37" i="1" s="1"/>
  <c r="AK37" i="1"/>
  <c r="AJ37" i="1"/>
  <c r="AH37" i="1"/>
  <c r="AG37" i="1"/>
  <c r="AF37" i="1"/>
  <c r="AE37" i="1"/>
  <c r="AD37" i="1"/>
  <c r="Z37" i="1"/>
  <c r="O37" i="1"/>
  <c r="L37" i="1"/>
  <c r="AL37" i="1" s="1"/>
  <c r="BW36" i="1"/>
  <c r="BJ36" i="1"/>
  <c r="BD36" i="1"/>
  <c r="AP36" i="1"/>
  <c r="BI36" i="1" s="1"/>
  <c r="AC36" i="1" s="1"/>
  <c r="AO36" i="1"/>
  <c r="BH36" i="1" s="1"/>
  <c r="AB36" i="1" s="1"/>
  <c r="AK36" i="1"/>
  <c r="AJ36" i="1"/>
  <c r="AH36" i="1"/>
  <c r="AG36" i="1"/>
  <c r="AF36" i="1"/>
  <c r="AE36" i="1"/>
  <c r="AD36" i="1"/>
  <c r="Z36" i="1"/>
  <c r="O36" i="1"/>
  <c r="BF36" i="1" s="1"/>
  <c r="M36" i="1"/>
  <c r="L36" i="1"/>
  <c r="AL36" i="1" s="1"/>
  <c r="BW35" i="1"/>
  <c r="BJ35" i="1"/>
  <c r="BI35" i="1"/>
  <c r="AC35" i="1" s="1"/>
  <c r="BF35" i="1"/>
  <c r="BD35" i="1"/>
  <c r="AW35" i="1"/>
  <c r="AP35" i="1"/>
  <c r="AX35" i="1" s="1"/>
  <c r="AO35" i="1"/>
  <c r="BH35" i="1" s="1"/>
  <c r="AB35" i="1" s="1"/>
  <c r="AK35" i="1"/>
  <c r="AJ35" i="1"/>
  <c r="AH35" i="1"/>
  <c r="AG35" i="1"/>
  <c r="AF35" i="1"/>
  <c r="AE35" i="1"/>
  <c r="AD35" i="1"/>
  <c r="Z35" i="1"/>
  <c r="O35" i="1"/>
  <c r="L35" i="1"/>
  <c r="AL35" i="1" s="1"/>
  <c r="K35" i="1"/>
  <c r="BW34" i="1"/>
  <c r="BJ34" i="1"/>
  <c r="BD34" i="1"/>
  <c r="AP34" i="1"/>
  <c r="BI34" i="1" s="1"/>
  <c r="AC34" i="1" s="1"/>
  <c r="AO34" i="1"/>
  <c r="AW34" i="1" s="1"/>
  <c r="AK34" i="1"/>
  <c r="AJ34" i="1"/>
  <c r="AH34" i="1"/>
  <c r="AG34" i="1"/>
  <c r="AF34" i="1"/>
  <c r="AE34" i="1"/>
  <c r="AD34" i="1"/>
  <c r="Z34" i="1"/>
  <c r="O34" i="1"/>
  <c r="BF34" i="1" s="1"/>
  <c r="M34" i="1"/>
  <c r="L34" i="1"/>
  <c r="AL34" i="1" s="1"/>
  <c r="J34" i="1"/>
  <c r="BW32" i="1"/>
  <c r="BJ32" i="1"/>
  <c r="BD32" i="1"/>
  <c r="AP32" i="1"/>
  <c r="AX32" i="1" s="1"/>
  <c r="AO32" i="1"/>
  <c r="BH32" i="1" s="1"/>
  <c r="AB32" i="1" s="1"/>
  <c r="AK32" i="1"/>
  <c r="AJ32" i="1"/>
  <c r="AH32" i="1"/>
  <c r="AG32" i="1"/>
  <c r="AF32" i="1"/>
  <c r="AE32" i="1"/>
  <c r="AD32" i="1"/>
  <c r="Z32" i="1"/>
  <c r="O32" i="1"/>
  <c r="BF32" i="1" s="1"/>
  <c r="L32" i="1"/>
  <c r="AL32" i="1" s="1"/>
  <c r="BW31" i="1"/>
  <c r="BJ31" i="1"/>
  <c r="BD31" i="1"/>
  <c r="AP31" i="1"/>
  <c r="AX31" i="1" s="1"/>
  <c r="AO31" i="1"/>
  <c r="BH31" i="1" s="1"/>
  <c r="AB31" i="1" s="1"/>
  <c r="AK31" i="1"/>
  <c r="AJ31" i="1"/>
  <c r="AH31" i="1"/>
  <c r="AG31" i="1"/>
  <c r="AF31" i="1"/>
  <c r="AE31" i="1"/>
  <c r="AD31" i="1"/>
  <c r="Z31" i="1"/>
  <c r="O31" i="1"/>
  <c r="BF31" i="1" s="1"/>
  <c r="L31" i="1"/>
  <c r="AL31" i="1" s="1"/>
  <c r="K31" i="1"/>
  <c r="BW30" i="1"/>
  <c r="BJ30" i="1"/>
  <c r="BD30" i="1"/>
  <c r="AP30" i="1"/>
  <c r="BI30" i="1" s="1"/>
  <c r="AC30" i="1" s="1"/>
  <c r="AO30" i="1"/>
  <c r="AW30" i="1" s="1"/>
  <c r="AK30" i="1"/>
  <c r="AJ30" i="1"/>
  <c r="AH30" i="1"/>
  <c r="AG30" i="1"/>
  <c r="AF30" i="1"/>
  <c r="AE30" i="1"/>
  <c r="AD30" i="1"/>
  <c r="Z30" i="1"/>
  <c r="O30" i="1"/>
  <c r="BF30" i="1" s="1"/>
  <c r="L30" i="1"/>
  <c r="AL30" i="1" s="1"/>
  <c r="BW28" i="1"/>
  <c r="BJ28" i="1"/>
  <c r="BD28" i="1"/>
  <c r="AW28" i="1"/>
  <c r="AP28" i="1"/>
  <c r="BI28" i="1" s="1"/>
  <c r="AC28" i="1" s="1"/>
  <c r="AO28" i="1"/>
  <c r="BH28" i="1" s="1"/>
  <c r="AB28" i="1" s="1"/>
  <c r="AK28" i="1"/>
  <c r="AJ28" i="1"/>
  <c r="AH28" i="1"/>
  <c r="AG28" i="1"/>
  <c r="AF28" i="1"/>
  <c r="AE28" i="1"/>
  <c r="AD28" i="1"/>
  <c r="Z28" i="1"/>
  <c r="O28" i="1"/>
  <c r="BF28" i="1" s="1"/>
  <c r="L28" i="1"/>
  <c r="AL28" i="1" s="1"/>
  <c r="K28" i="1"/>
  <c r="J28" i="1"/>
  <c r="BW27" i="1"/>
  <c r="BJ27" i="1"/>
  <c r="BD27" i="1"/>
  <c r="AW27" i="1"/>
  <c r="BC27" i="1" s="1"/>
  <c r="AP27" i="1"/>
  <c r="AX27" i="1" s="1"/>
  <c r="AO27" i="1"/>
  <c r="BH27" i="1" s="1"/>
  <c r="AB27" i="1" s="1"/>
  <c r="AK27" i="1"/>
  <c r="AJ27" i="1"/>
  <c r="AH27" i="1"/>
  <c r="AG27" i="1"/>
  <c r="AF27" i="1"/>
  <c r="AE27" i="1"/>
  <c r="AD27" i="1"/>
  <c r="Z27" i="1"/>
  <c r="O27" i="1"/>
  <c r="BF27" i="1" s="1"/>
  <c r="L27" i="1"/>
  <c r="AL27" i="1" s="1"/>
  <c r="K27" i="1"/>
  <c r="BW24" i="1"/>
  <c r="BJ24" i="1"/>
  <c r="BD24" i="1"/>
  <c r="AP24" i="1"/>
  <c r="BI24" i="1" s="1"/>
  <c r="AC24" i="1" s="1"/>
  <c r="AO24" i="1"/>
  <c r="AW24" i="1" s="1"/>
  <c r="AK24" i="1"/>
  <c r="AJ24" i="1"/>
  <c r="AH24" i="1"/>
  <c r="AG24" i="1"/>
  <c r="AF24" i="1"/>
  <c r="AE24" i="1"/>
  <c r="AD24" i="1"/>
  <c r="Z24" i="1"/>
  <c r="O24" i="1"/>
  <c r="BF24" i="1" s="1"/>
  <c r="L24" i="1"/>
  <c r="AL24" i="1" s="1"/>
  <c r="J24" i="1"/>
  <c r="BW22" i="1"/>
  <c r="BJ22" i="1"/>
  <c r="BD22" i="1"/>
  <c r="AW22" i="1"/>
  <c r="AP22" i="1"/>
  <c r="BI22" i="1" s="1"/>
  <c r="AC22" i="1" s="1"/>
  <c r="AO22" i="1"/>
  <c r="BH22" i="1" s="1"/>
  <c r="AB22" i="1" s="1"/>
  <c r="AK22" i="1"/>
  <c r="AJ22" i="1"/>
  <c r="AH22" i="1"/>
  <c r="AG22" i="1"/>
  <c r="AF22" i="1"/>
  <c r="AE22" i="1"/>
  <c r="AD22" i="1"/>
  <c r="Z22" i="1"/>
  <c r="O22" i="1"/>
  <c r="BF22" i="1" s="1"/>
  <c r="L22" i="1"/>
  <c r="AL22" i="1" s="1"/>
  <c r="K22" i="1"/>
  <c r="J22" i="1"/>
  <c r="BW21" i="1"/>
  <c r="BJ21" i="1"/>
  <c r="BD21" i="1"/>
  <c r="AP21" i="1"/>
  <c r="AX21" i="1" s="1"/>
  <c r="AO21" i="1"/>
  <c r="BH21" i="1" s="1"/>
  <c r="AB21" i="1" s="1"/>
  <c r="AK21" i="1"/>
  <c r="AJ21" i="1"/>
  <c r="AH21" i="1"/>
  <c r="AG21" i="1"/>
  <c r="AF21" i="1"/>
  <c r="AE21" i="1"/>
  <c r="AD21" i="1"/>
  <c r="Z21" i="1"/>
  <c r="O21" i="1"/>
  <c r="BF21" i="1" s="1"/>
  <c r="L21" i="1"/>
  <c r="AL21" i="1" s="1"/>
  <c r="K21" i="1"/>
  <c r="BW19" i="1"/>
  <c r="M19" i="1" s="1"/>
  <c r="BJ19" i="1"/>
  <c r="BD19" i="1"/>
  <c r="AP19" i="1"/>
  <c r="BI19" i="1" s="1"/>
  <c r="AC19" i="1" s="1"/>
  <c r="AO19" i="1"/>
  <c r="AW19" i="1" s="1"/>
  <c r="AK19" i="1"/>
  <c r="AJ19" i="1"/>
  <c r="AH19" i="1"/>
  <c r="AG19" i="1"/>
  <c r="AF19" i="1"/>
  <c r="AE19" i="1"/>
  <c r="AD19" i="1"/>
  <c r="Z19" i="1"/>
  <c r="O19" i="1"/>
  <c r="BF19" i="1" s="1"/>
  <c r="L19" i="1"/>
  <c r="AL19" i="1" s="1"/>
  <c r="J19" i="1"/>
  <c r="BW17" i="1"/>
  <c r="BJ17" i="1"/>
  <c r="BD17" i="1"/>
  <c r="AP17" i="1"/>
  <c r="BI17" i="1" s="1"/>
  <c r="AC17" i="1" s="1"/>
  <c r="AO17" i="1"/>
  <c r="BH17" i="1" s="1"/>
  <c r="AB17" i="1" s="1"/>
  <c r="AK17" i="1"/>
  <c r="AJ17" i="1"/>
  <c r="AH17" i="1"/>
  <c r="AG17" i="1"/>
  <c r="AF17" i="1"/>
  <c r="AE17" i="1"/>
  <c r="AD17" i="1"/>
  <c r="Z17" i="1"/>
  <c r="O17" i="1"/>
  <c r="BF17" i="1" s="1"/>
  <c r="L17" i="1"/>
  <c r="M17" i="1" s="1"/>
  <c r="K17" i="1"/>
  <c r="BW15" i="1"/>
  <c r="BJ15" i="1"/>
  <c r="BI15" i="1"/>
  <c r="AC15" i="1" s="1"/>
  <c r="BD15" i="1"/>
  <c r="AP15" i="1"/>
  <c r="AX15" i="1" s="1"/>
  <c r="AO15" i="1"/>
  <c r="BH15" i="1" s="1"/>
  <c r="AB15" i="1" s="1"/>
  <c r="AK15" i="1"/>
  <c r="AJ15" i="1"/>
  <c r="AH15" i="1"/>
  <c r="AG15" i="1"/>
  <c r="AF15" i="1"/>
  <c r="AE15" i="1"/>
  <c r="AD15" i="1"/>
  <c r="Z15" i="1"/>
  <c r="O15" i="1"/>
  <c r="BF15" i="1" s="1"/>
  <c r="L15" i="1"/>
  <c r="AL15" i="1" s="1"/>
  <c r="K15" i="1"/>
  <c r="BW14" i="1"/>
  <c r="BJ14" i="1"/>
  <c r="BH14" i="1"/>
  <c r="BD14" i="1"/>
  <c r="AP14" i="1"/>
  <c r="BI14" i="1" s="1"/>
  <c r="AC14" i="1" s="1"/>
  <c r="AO14" i="1"/>
  <c r="AW14" i="1" s="1"/>
  <c r="AK14" i="1"/>
  <c r="AJ14" i="1"/>
  <c r="AH14" i="1"/>
  <c r="AG14" i="1"/>
  <c r="AF14" i="1"/>
  <c r="AE14" i="1"/>
  <c r="AD14" i="1"/>
  <c r="AB14" i="1"/>
  <c r="Z14" i="1"/>
  <c r="O14" i="1"/>
  <c r="BF14" i="1" s="1"/>
  <c r="L14" i="1"/>
  <c r="J14" i="1"/>
  <c r="AU1" i="1"/>
  <c r="AT1" i="1"/>
  <c r="AS1" i="1"/>
  <c r="M199" i="1" l="1"/>
  <c r="BC199" i="1"/>
  <c r="J37" i="1"/>
  <c r="J30" i="1"/>
  <c r="BH49" i="1"/>
  <c r="K59" i="1"/>
  <c r="K70" i="1"/>
  <c r="AS79" i="1"/>
  <c r="AW84" i="1"/>
  <c r="AV84" i="1" s="1"/>
  <c r="J101" i="1"/>
  <c r="M106" i="1"/>
  <c r="AX106" i="1"/>
  <c r="AW123" i="1"/>
  <c r="AV123" i="1" s="1"/>
  <c r="BI199" i="1"/>
  <c r="AE199" i="1" s="1"/>
  <c r="BC215" i="1"/>
  <c r="BH221" i="1"/>
  <c r="AD221" i="1" s="1"/>
  <c r="M223" i="1"/>
  <c r="BH242" i="1"/>
  <c r="AD242" i="1" s="1"/>
  <c r="M37" i="2"/>
  <c r="M41" i="2"/>
  <c r="IR95" i="2"/>
  <c r="M111" i="2"/>
  <c r="M120" i="2"/>
  <c r="M155" i="2"/>
  <c r="M154" i="2" s="1"/>
  <c r="IS163" i="2"/>
  <c r="J163" i="2" s="1"/>
  <c r="M180" i="2"/>
  <c r="IR184" i="2"/>
  <c r="M188" i="2"/>
  <c r="IS196" i="2"/>
  <c r="M202" i="2"/>
  <c r="O13" i="1"/>
  <c r="G12" i="3" s="1"/>
  <c r="AV70" i="1"/>
  <c r="J78" i="1"/>
  <c r="BI96" i="1"/>
  <c r="AC96" i="1" s="1"/>
  <c r="BH155" i="1"/>
  <c r="AD155" i="1" s="1"/>
  <c r="AS218" i="1"/>
  <c r="M25" i="2"/>
  <c r="M46" i="2"/>
  <c r="M49" i="2"/>
  <c r="IS62" i="2"/>
  <c r="J62" i="2" s="1"/>
  <c r="J61" i="2" s="1"/>
  <c r="M81" i="2"/>
  <c r="M127" i="2"/>
  <c r="M130" i="2"/>
  <c r="IS202" i="2"/>
  <c r="J202" i="2" s="1"/>
  <c r="BC22" i="1"/>
  <c r="J36" i="1"/>
  <c r="BH37" i="1"/>
  <c r="AB37" i="1" s="1"/>
  <c r="BH43" i="1"/>
  <c r="J45" i="1"/>
  <c r="M59" i="1"/>
  <c r="M70" i="1"/>
  <c r="AS93" i="1"/>
  <c r="AS98" i="1"/>
  <c r="J116" i="1"/>
  <c r="AV131" i="1"/>
  <c r="AX172" i="1"/>
  <c r="O176" i="1"/>
  <c r="G25" i="3" s="1"/>
  <c r="BI191" i="1"/>
  <c r="AE191" i="1" s="1"/>
  <c r="BH205" i="1"/>
  <c r="AD205" i="1" s="1"/>
  <c r="J74" i="2"/>
  <c r="J106" i="2"/>
  <c r="F22" i="9"/>
  <c r="K231" i="1"/>
  <c r="M14" i="1"/>
  <c r="J17" i="1"/>
  <c r="BH19" i="1"/>
  <c r="AB19" i="1" s="1"/>
  <c r="AX22" i="1"/>
  <c r="K36" i="1"/>
  <c r="BC48" i="1"/>
  <c r="K39" i="1"/>
  <c r="AL17" i="1"/>
  <c r="AS52" i="1"/>
  <c r="AX177" i="1"/>
  <c r="AX201" i="1"/>
  <c r="M22" i="2"/>
  <c r="M64" i="2"/>
  <c r="M68" i="2"/>
  <c r="IS96" i="2"/>
  <c r="J96" i="2" s="1"/>
  <c r="M139" i="2"/>
  <c r="M142" i="2"/>
  <c r="M146" i="2"/>
  <c r="IS157" i="2"/>
  <c r="M204" i="2"/>
  <c r="I18" i="6"/>
  <c r="AV42" i="1"/>
  <c r="AT98" i="1"/>
  <c r="AX112" i="1"/>
  <c r="AX116" i="1"/>
  <c r="O130" i="1"/>
  <c r="G22" i="3" s="1"/>
  <c r="AX145" i="1"/>
  <c r="BH181" i="1"/>
  <c r="AD181" i="1" s="1"/>
  <c r="AX219" i="1"/>
  <c r="AW222" i="1"/>
  <c r="AV222" i="1" s="1"/>
  <c r="BC230" i="1"/>
  <c r="AW232" i="1"/>
  <c r="BC232" i="1" s="1"/>
  <c r="M33" i="2"/>
  <c r="M75" i="2"/>
  <c r="M84" i="2"/>
  <c r="M104" i="2"/>
  <c r="M107" i="2"/>
  <c r="IS161" i="2"/>
  <c r="M174" i="2"/>
  <c r="M177" i="2"/>
  <c r="M212" i="2"/>
  <c r="AW36" i="1"/>
  <c r="AX42" i="1"/>
  <c r="AW61" i="1"/>
  <c r="K65" i="1"/>
  <c r="AW94" i="1"/>
  <c r="BC94" i="1" s="1"/>
  <c r="J120" i="1"/>
  <c r="M124" i="1"/>
  <c r="AX124" i="1"/>
  <c r="AW128" i="1"/>
  <c r="M159" i="1"/>
  <c r="AW159" i="1"/>
  <c r="AX206" i="1"/>
  <c r="BH210" i="1"/>
  <c r="AD210" i="1" s="1"/>
  <c r="AX232" i="1"/>
  <c r="J238" i="1"/>
  <c r="J90" i="2"/>
  <c r="M119" i="2"/>
  <c r="J135" i="2"/>
  <c r="M153" i="2"/>
  <c r="M152" i="2" s="1"/>
  <c r="K158" i="1"/>
  <c r="AW17" i="1"/>
  <c r="AW21" i="1"/>
  <c r="BC21" i="1" s="1"/>
  <c r="J49" i="1"/>
  <c r="AW68" i="1"/>
  <c r="AV68" i="1" s="1"/>
  <c r="AX159" i="1"/>
  <c r="AV159" i="1" s="1"/>
  <c r="O174" i="1"/>
  <c r="G24" i="3" s="1"/>
  <c r="O241" i="1"/>
  <c r="G31" i="3" s="1"/>
  <c r="M40" i="2"/>
  <c r="M44" i="2"/>
  <c r="M187" i="2"/>
  <c r="F22" i="5"/>
  <c r="I27" i="6"/>
  <c r="AL46" i="1"/>
  <c r="J84" i="1"/>
  <c r="BC186" i="1"/>
  <c r="M52" i="2"/>
  <c r="M133" i="2"/>
  <c r="I14" i="5"/>
  <c r="I22" i="5" s="1"/>
  <c r="AX53" i="1"/>
  <c r="BC53" i="1" s="1"/>
  <c r="K84" i="1"/>
  <c r="J106" i="1"/>
  <c r="AT105" i="1"/>
  <c r="J242" i="1"/>
  <c r="BI245" i="1"/>
  <c r="IS36" i="2"/>
  <c r="M57" i="2"/>
  <c r="C22" i="9"/>
  <c r="AX39" i="1"/>
  <c r="BI44" i="1"/>
  <c r="L69" i="1"/>
  <c r="F15" i="3" s="1"/>
  <c r="I15" i="3" s="1"/>
  <c r="AS69" i="1"/>
  <c r="M80" i="1"/>
  <c r="M129" i="1"/>
  <c r="BH149" i="1"/>
  <c r="AD149" i="1" s="1"/>
  <c r="BI166" i="1"/>
  <c r="AE166" i="1" s="1"/>
  <c r="BI186" i="1"/>
  <c r="AE186" i="1" s="1"/>
  <c r="AW92" i="1"/>
  <c r="AV92" i="1"/>
  <c r="AX247" i="1"/>
  <c r="AS241" i="1"/>
  <c r="AX245" i="1"/>
  <c r="AX243" i="1"/>
  <c r="AV243" i="1" s="1"/>
  <c r="BC242" i="1"/>
  <c r="AT237" i="1"/>
  <c r="AX240" i="1"/>
  <c r="AX239" i="1"/>
  <c r="AV239" i="1"/>
  <c r="IS198" i="2"/>
  <c r="AS227" i="1"/>
  <c r="IS194" i="2"/>
  <c r="AT227" i="1"/>
  <c r="AX225" i="1"/>
  <c r="L224" i="1"/>
  <c r="F28" i="3" s="1"/>
  <c r="I28" i="3" s="1"/>
  <c r="IS190" i="2"/>
  <c r="J190" i="2" s="1"/>
  <c r="J189" i="2" s="1"/>
  <c r="AT218" i="1"/>
  <c r="IS187" i="2"/>
  <c r="L218" i="1"/>
  <c r="F27" i="3" s="1"/>
  <c r="I27" i="3" s="1"/>
  <c r="AW219" i="1"/>
  <c r="AX216" i="1"/>
  <c r="M215" i="1"/>
  <c r="BI214" i="1"/>
  <c r="AE214" i="1" s="1"/>
  <c r="BC210" i="1"/>
  <c r="AV210" i="1"/>
  <c r="BI210" i="1"/>
  <c r="AE210" i="1" s="1"/>
  <c r="M210" i="1"/>
  <c r="IS176" i="2"/>
  <c r="J176" i="2" s="1"/>
  <c r="J210" i="1"/>
  <c r="BC205" i="1"/>
  <c r="AV205" i="1"/>
  <c r="J205" i="1"/>
  <c r="BI205" i="1"/>
  <c r="AE205" i="1" s="1"/>
  <c r="M205" i="1"/>
  <c r="K205" i="1"/>
  <c r="BI203" i="1"/>
  <c r="AE203" i="1" s="1"/>
  <c r="K199" i="1"/>
  <c r="AV199" i="1"/>
  <c r="BI197" i="1"/>
  <c r="AE197" i="1" s="1"/>
  <c r="K197" i="1"/>
  <c r="AX195" i="1"/>
  <c r="IS168" i="2"/>
  <c r="J168" i="2" s="1"/>
  <c r="J193" i="1"/>
  <c r="AW193" i="1"/>
  <c r="AS190" i="1"/>
  <c r="AT190" i="1"/>
  <c r="K189" i="1"/>
  <c r="BI189" i="1"/>
  <c r="M186" i="1"/>
  <c r="K186" i="1"/>
  <c r="BI184" i="1"/>
  <c r="AE184" i="1" s="1"/>
  <c r="BC181" i="1"/>
  <c r="AV181" i="1"/>
  <c r="M181" i="1"/>
  <c r="BI179" i="1"/>
  <c r="AE179" i="1" s="1"/>
  <c r="AS176" i="1"/>
  <c r="AX175" i="1"/>
  <c r="AX169" i="1"/>
  <c r="BC167" i="1"/>
  <c r="AV167" i="1"/>
  <c r="J167" i="1"/>
  <c r="BI167" i="1"/>
  <c r="AE167" i="1" s="1"/>
  <c r="M167" i="1"/>
  <c r="K167" i="1"/>
  <c r="AX164" i="1"/>
  <c r="AW163" i="1"/>
  <c r="BH163" i="1"/>
  <c r="AD163" i="1" s="1"/>
  <c r="M163" i="1"/>
  <c r="IS145" i="2"/>
  <c r="BI158" i="1"/>
  <c r="AE158" i="1" s="1"/>
  <c r="IS141" i="2"/>
  <c r="J141" i="2" s="1"/>
  <c r="BC155" i="1"/>
  <c r="AV155" i="1"/>
  <c r="BI155" i="1"/>
  <c r="AE155" i="1" s="1"/>
  <c r="K155" i="1"/>
  <c r="J155" i="1"/>
  <c r="AT130" i="1"/>
  <c r="BC149" i="1"/>
  <c r="BI149" i="1"/>
  <c r="AE149" i="1" s="1"/>
  <c r="BC148" i="1"/>
  <c r="M146" i="1"/>
  <c r="M145" i="1"/>
  <c r="AW143" i="1"/>
  <c r="BC143" i="1" s="1"/>
  <c r="BH142" i="1"/>
  <c r="AD142" i="1" s="1"/>
  <c r="AX141" i="1"/>
  <c r="K141" i="1"/>
  <c r="BH139" i="1"/>
  <c r="AD139" i="1" s="1"/>
  <c r="M137" i="1"/>
  <c r="BC137" i="1"/>
  <c r="K135" i="1"/>
  <c r="BH135" i="1"/>
  <c r="AD135" i="1" s="1"/>
  <c r="BC135" i="1"/>
  <c r="AS130" i="1"/>
  <c r="BH133" i="1"/>
  <c r="AD133" i="1" s="1"/>
  <c r="IS127" i="2"/>
  <c r="J127" i="2" s="1"/>
  <c r="L130" i="1"/>
  <c r="F22" i="3" s="1"/>
  <c r="I22" i="3" s="1"/>
  <c r="AV129" i="1"/>
  <c r="J128" i="1"/>
  <c r="AX128" i="1"/>
  <c r="BC128" i="1" s="1"/>
  <c r="K128" i="1"/>
  <c r="J126" i="1"/>
  <c r="IS121" i="2"/>
  <c r="J121" i="2" s="1"/>
  <c r="BH126" i="1"/>
  <c r="AD126" i="1" s="1"/>
  <c r="AV125" i="1"/>
  <c r="AX123" i="1"/>
  <c r="BC123" i="1"/>
  <c r="BH120" i="1"/>
  <c r="AD120" i="1" s="1"/>
  <c r="AT117" i="1"/>
  <c r="IR115" i="2"/>
  <c r="AW118" i="1"/>
  <c r="BH118" i="1"/>
  <c r="AD118" i="1" s="1"/>
  <c r="BI116" i="1"/>
  <c r="BH116" i="1"/>
  <c r="BH114" i="1"/>
  <c r="AD114" i="1" s="1"/>
  <c r="BH111" i="1"/>
  <c r="AD111" i="1" s="1"/>
  <c r="AW111" i="1"/>
  <c r="AV111" i="1" s="1"/>
  <c r="BC110" i="1"/>
  <c r="AX109" i="1"/>
  <c r="AV109" i="1" s="1"/>
  <c r="BH109" i="1"/>
  <c r="AD109" i="1" s="1"/>
  <c r="IS104" i="2"/>
  <c r="AV107" i="1"/>
  <c r="AS105" i="1"/>
  <c r="L105" i="1"/>
  <c r="F20" i="3" s="1"/>
  <c r="I20" i="3" s="1"/>
  <c r="AW104" i="1"/>
  <c r="K104" i="1"/>
  <c r="BI104" i="1"/>
  <c r="BH101" i="1"/>
  <c r="AD101" i="1" s="1"/>
  <c r="L98" i="1"/>
  <c r="F19" i="3" s="1"/>
  <c r="I19" i="3" s="1"/>
  <c r="AV99" i="1"/>
  <c r="M97" i="1"/>
  <c r="BC97" i="1"/>
  <c r="AT93" i="1"/>
  <c r="BH96" i="1"/>
  <c r="AB96" i="1" s="1"/>
  <c r="IS86" i="2"/>
  <c r="J86" i="2" s="1"/>
  <c r="BH92" i="1"/>
  <c r="BH89" i="1"/>
  <c r="AB89" i="1" s="1"/>
  <c r="IS83" i="2"/>
  <c r="BC89" i="1"/>
  <c r="M89" i="1"/>
  <c r="L85" i="1"/>
  <c r="F17" i="3" s="1"/>
  <c r="I17" i="3" s="1"/>
  <c r="M86" i="1"/>
  <c r="BI86" i="1"/>
  <c r="AC86" i="1" s="1"/>
  <c r="BH86" i="1"/>
  <c r="AB86" i="1" s="1"/>
  <c r="BC86" i="1"/>
  <c r="IS80" i="2"/>
  <c r="M84" i="1"/>
  <c r="BI84" i="1"/>
  <c r="AW82" i="1"/>
  <c r="BC82" i="1" s="1"/>
  <c r="BI82" i="1"/>
  <c r="AC82" i="1" s="1"/>
  <c r="AW80" i="1"/>
  <c r="IR73" i="2"/>
  <c r="AL80" i="1"/>
  <c r="AU79" i="1" s="1"/>
  <c r="IR71" i="2"/>
  <c r="IS70" i="2"/>
  <c r="J70" i="2" s="1"/>
  <c r="M78" i="1"/>
  <c r="BH78" i="1"/>
  <c r="BC76" i="1"/>
  <c r="IS67" i="2"/>
  <c r="J67" i="2" s="1"/>
  <c r="M76" i="1"/>
  <c r="BI76" i="1"/>
  <c r="AC76" i="1" s="1"/>
  <c r="BH76" i="1"/>
  <c r="AB76" i="1" s="1"/>
  <c r="AW74" i="1"/>
  <c r="BC74" i="1" s="1"/>
  <c r="M72" i="1"/>
  <c r="BC70" i="1"/>
  <c r="BH70" i="1"/>
  <c r="AB70" i="1" s="1"/>
  <c r="J70" i="1"/>
  <c r="AT69" i="1"/>
  <c r="BC68" i="1"/>
  <c r="BI68" i="1"/>
  <c r="AG68" i="1" s="1"/>
  <c r="BH65" i="1"/>
  <c r="AB65" i="1" s="1"/>
  <c r="BC65" i="1"/>
  <c r="AW63" i="1"/>
  <c r="BI63" i="1"/>
  <c r="AC63" i="1" s="1"/>
  <c r="M61" i="1"/>
  <c r="BH59" i="1"/>
  <c r="AB59" i="1" s="1"/>
  <c r="BC59" i="1"/>
  <c r="BI59" i="1"/>
  <c r="AC59" i="1" s="1"/>
  <c r="AW57" i="1"/>
  <c r="AV57" i="1" s="1"/>
  <c r="BI57" i="1"/>
  <c r="AC57" i="1" s="1"/>
  <c r="BH55" i="1"/>
  <c r="AB55" i="1" s="1"/>
  <c r="M55" i="1"/>
  <c r="AU52" i="1"/>
  <c r="AT52" i="1"/>
  <c r="AV53" i="1"/>
  <c r="L52" i="1"/>
  <c r="F13" i="3" s="1"/>
  <c r="I13" i="3" s="1"/>
  <c r="M53" i="1"/>
  <c r="BI38" i="1"/>
  <c r="AC38" i="1" s="1"/>
  <c r="M39" i="1"/>
  <c r="K42" i="1"/>
  <c r="BC42" i="1"/>
  <c r="J43" i="1"/>
  <c r="AW45" i="1"/>
  <c r="K47" i="1"/>
  <c r="BI47" i="1"/>
  <c r="M48" i="1"/>
  <c r="M49" i="1"/>
  <c r="BC51" i="1"/>
  <c r="IS40" i="2"/>
  <c r="J40" i="2" s="1"/>
  <c r="J40" i="1"/>
  <c r="BH40" i="1"/>
  <c r="AB40" i="1" s="1"/>
  <c r="BC41" i="1"/>
  <c r="BI45" i="1"/>
  <c r="BC50" i="1"/>
  <c r="AW38" i="1"/>
  <c r="BC38" i="1" s="1"/>
  <c r="J39" i="1"/>
  <c r="AW39" i="1"/>
  <c r="BH46" i="1"/>
  <c r="BC47" i="1"/>
  <c r="K41" i="1"/>
  <c r="BI41" i="1"/>
  <c r="M42" i="1"/>
  <c r="M43" i="1"/>
  <c r="K45" i="1"/>
  <c r="J46" i="1"/>
  <c r="K50" i="1"/>
  <c r="BI50" i="1"/>
  <c r="M51" i="1"/>
  <c r="IS46" i="2"/>
  <c r="J46" i="2" s="1"/>
  <c r="M37" i="1"/>
  <c r="AX36" i="1"/>
  <c r="IS31" i="2"/>
  <c r="BH34" i="1"/>
  <c r="AB34" i="1" s="1"/>
  <c r="J32" i="1"/>
  <c r="AW32" i="1"/>
  <c r="BI32" i="1"/>
  <c r="AC32" i="1" s="1"/>
  <c r="M32" i="1"/>
  <c r="K32" i="1"/>
  <c r="AW31" i="1"/>
  <c r="BC31" i="1" s="1"/>
  <c r="BI31" i="1"/>
  <c r="AC31" i="1" s="1"/>
  <c r="M30" i="1"/>
  <c r="BH30" i="1"/>
  <c r="AB30" i="1" s="1"/>
  <c r="AX28" i="1"/>
  <c r="AV28" i="1"/>
  <c r="M28" i="1"/>
  <c r="BC28" i="1"/>
  <c r="BI27" i="1"/>
  <c r="AC27" i="1" s="1"/>
  <c r="BH24" i="1"/>
  <c r="AB24" i="1" s="1"/>
  <c r="M24" i="1"/>
  <c r="AV22" i="1"/>
  <c r="M22" i="1"/>
  <c r="BI21" i="1"/>
  <c r="AC21" i="1" s="1"/>
  <c r="AX17" i="1"/>
  <c r="AV17" i="1" s="1"/>
  <c r="AT13" i="1"/>
  <c r="AW15" i="1"/>
  <c r="AL14" i="1"/>
  <c r="AU13" i="1" s="1"/>
  <c r="AS13" i="1"/>
  <c r="L13" i="1"/>
  <c r="F12" i="3" s="1"/>
  <c r="I12" i="3" s="1"/>
  <c r="I18" i="8"/>
  <c r="M16" i="2"/>
  <c r="M23" i="2"/>
  <c r="IS38" i="2"/>
  <c r="J38" i="2" s="1"/>
  <c r="M45" i="2"/>
  <c r="IS50" i="2"/>
  <c r="J50" i="2" s="1"/>
  <c r="M58" i="2"/>
  <c r="IS65" i="2"/>
  <c r="J65" i="2" s="1"/>
  <c r="IS77" i="2"/>
  <c r="J77" i="2" s="1"/>
  <c r="IS88" i="2"/>
  <c r="J88" i="2" s="1"/>
  <c r="J85" i="2" s="1"/>
  <c r="M102" i="2"/>
  <c r="M103" i="2"/>
  <c r="IS108" i="2"/>
  <c r="J108" i="2" s="1"/>
  <c r="M116" i="2"/>
  <c r="M118" i="2"/>
  <c r="IS124" i="2"/>
  <c r="J124" i="2" s="1"/>
  <c r="M131" i="2"/>
  <c r="M132" i="2"/>
  <c r="IS137" i="2"/>
  <c r="J137" i="2" s="1"/>
  <c r="M143" i="2"/>
  <c r="M144" i="2"/>
  <c r="IS150" i="2"/>
  <c r="J150" i="2" s="1"/>
  <c r="M159" i="2"/>
  <c r="M160" i="2"/>
  <c r="IS166" i="2"/>
  <c r="J166" i="2" s="1"/>
  <c r="M172" i="2"/>
  <c r="M173" i="2"/>
  <c r="IS178" i="2"/>
  <c r="J178" i="2" s="1"/>
  <c r="M185" i="2"/>
  <c r="M197" i="2"/>
  <c r="IS208" i="2"/>
  <c r="J208" i="2" s="1"/>
  <c r="M13" i="2"/>
  <c r="M26" i="2"/>
  <c r="M42" i="2"/>
  <c r="M55" i="2"/>
  <c r="M70" i="2"/>
  <c r="M114" i="2"/>
  <c r="M129" i="2"/>
  <c r="M141" i="2"/>
  <c r="M157" i="2"/>
  <c r="M170" i="2"/>
  <c r="M183" i="2"/>
  <c r="J17" i="2"/>
  <c r="J59" i="2"/>
  <c r="J104" i="2"/>
  <c r="J119" i="2"/>
  <c r="J133" i="2"/>
  <c r="J145" i="2"/>
  <c r="J161" i="2"/>
  <c r="J174" i="2"/>
  <c r="J187" i="2"/>
  <c r="J198" i="2"/>
  <c r="IS15" i="2"/>
  <c r="J15" i="2" s="1"/>
  <c r="IS22" i="2"/>
  <c r="J22" i="2" s="1"/>
  <c r="M29" i="2"/>
  <c r="IS35" i="2"/>
  <c r="M38" i="2"/>
  <c r="M39" i="2"/>
  <c r="IS44" i="2"/>
  <c r="J44" i="2" s="1"/>
  <c r="M50" i="2"/>
  <c r="M51" i="2"/>
  <c r="IS57" i="2"/>
  <c r="J57" i="2" s="1"/>
  <c r="M65" i="2"/>
  <c r="M66" i="2"/>
  <c r="M77" i="2"/>
  <c r="IS79" i="2"/>
  <c r="M88" i="2"/>
  <c r="M85" i="2" s="1"/>
  <c r="IS89" i="2"/>
  <c r="IS102" i="2"/>
  <c r="J102" i="2" s="1"/>
  <c r="M108" i="2"/>
  <c r="M110" i="2"/>
  <c r="IS116" i="2"/>
  <c r="J116" i="2" s="1"/>
  <c r="M124" i="2"/>
  <c r="M126" i="2"/>
  <c r="IS131" i="2"/>
  <c r="J131" i="2" s="1"/>
  <c r="M137" i="2"/>
  <c r="M138" i="2"/>
  <c r="IS143" i="2"/>
  <c r="J143" i="2" s="1"/>
  <c r="M150" i="2"/>
  <c r="M151" i="2"/>
  <c r="IS159" i="2"/>
  <c r="J159" i="2" s="1"/>
  <c r="M166" i="2"/>
  <c r="M167" i="2"/>
  <c r="IS172" i="2"/>
  <c r="J172" i="2" s="1"/>
  <c r="M178" i="2"/>
  <c r="M179" i="2"/>
  <c r="IS185" i="2"/>
  <c r="J185" i="2" s="1"/>
  <c r="M198" i="2"/>
  <c r="M192" i="2" s="1"/>
  <c r="M205" i="2"/>
  <c r="M208" i="2"/>
  <c r="IS13" i="2"/>
  <c r="J13" i="2" s="1"/>
  <c r="IS26" i="2"/>
  <c r="J26" i="2" s="1"/>
  <c r="IS42" i="2"/>
  <c r="J42" i="2" s="1"/>
  <c r="M48" i="2"/>
  <c r="IS55" i="2"/>
  <c r="J55" i="2" s="1"/>
  <c r="M62" i="2"/>
  <c r="M61" i="2" s="1"/>
  <c r="M74" i="2"/>
  <c r="M86" i="2"/>
  <c r="M96" i="2"/>
  <c r="M106" i="2"/>
  <c r="J114" i="2"/>
  <c r="M121" i="2"/>
  <c r="J129" i="2"/>
  <c r="M135" i="2"/>
  <c r="M147" i="2"/>
  <c r="J157" i="2"/>
  <c r="M163" i="2"/>
  <c r="M156" i="2" s="1"/>
  <c r="J170" i="2"/>
  <c r="M176" i="2"/>
  <c r="J183" i="2"/>
  <c r="M190" i="2"/>
  <c r="M189" i="2" s="1"/>
  <c r="M214" i="2"/>
  <c r="IS216" i="2"/>
  <c r="J216" i="2" s="1"/>
  <c r="J215" i="2" s="1"/>
  <c r="F22" i="7"/>
  <c r="BC96" i="1"/>
  <c r="AV96" i="1"/>
  <c r="BC35" i="1"/>
  <c r="AV59" i="1"/>
  <c r="BC63" i="1"/>
  <c r="AV65" i="1"/>
  <c r="AU69" i="1"/>
  <c r="AV86" i="1"/>
  <c r="AV139" i="1"/>
  <c r="BC124" i="1"/>
  <c r="AV124" i="1"/>
  <c r="BC145" i="1"/>
  <c r="AV145" i="1"/>
  <c r="BC44" i="1"/>
  <c r="BC106" i="1"/>
  <c r="AV106" i="1"/>
  <c r="BC109" i="1"/>
  <c r="BC114" i="1"/>
  <c r="AV114" i="1"/>
  <c r="BC116" i="1"/>
  <c r="AV116" i="1"/>
  <c r="BC120" i="1"/>
  <c r="AV120" i="1"/>
  <c r="BC142" i="1"/>
  <c r="AV142" i="1"/>
  <c r="BC15" i="1"/>
  <c r="BI146" i="1"/>
  <c r="AE146" i="1" s="1"/>
  <c r="K146" i="1"/>
  <c r="BH217" i="1"/>
  <c r="J217" i="1"/>
  <c r="AW217" i="1"/>
  <c r="BI238" i="1"/>
  <c r="AE238" i="1" s="1"/>
  <c r="K238" i="1"/>
  <c r="AX238" i="1"/>
  <c r="AV238" i="1" s="1"/>
  <c r="AW245" i="1"/>
  <c r="BH245" i="1"/>
  <c r="J245" i="1"/>
  <c r="I15" i="2"/>
  <c r="I22" i="2"/>
  <c r="I37" i="2"/>
  <c r="I57" i="2"/>
  <c r="I64" i="2"/>
  <c r="I75" i="2"/>
  <c r="I81" i="2"/>
  <c r="I102" i="2"/>
  <c r="I107" i="2"/>
  <c r="I116" i="2"/>
  <c r="K116" i="2"/>
  <c r="I123" i="2"/>
  <c r="I131" i="2"/>
  <c r="I136" i="2"/>
  <c r="K143" i="2"/>
  <c r="I143" i="2"/>
  <c r="I149" i="2"/>
  <c r="I159" i="2"/>
  <c r="I164" i="2"/>
  <c r="I172" i="2"/>
  <c r="K172" i="2"/>
  <c r="I177" i="2"/>
  <c r="I185" i="2"/>
  <c r="I193" i="2"/>
  <c r="I204" i="2"/>
  <c r="I206" i="2"/>
  <c r="C18" i="5"/>
  <c r="C18" i="7"/>
  <c r="AL94" i="1"/>
  <c r="AU93" i="1" s="1"/>
  <c r="M94" i="1"/>
  <c r="BI97" i="1"/>
  <c r="K97" i="1"/>
  <c r="BI110" i="1"/>
  <c r="AE110" i="1" s="1"/>
  <c r="K110" i="1"/>
  <c r="BI129" i="1"/>
  <c r="K129" i="1"/>
  <c r="BI137" i="1"/>
  <c r="AE137" i="1" s="1"/>
  <c r="K137" i="1"/>
  <c r="BH146" i="1"/>
  <c r="AD146" i="1" s="1"/>
  <c r="J146" i="1"/>
  <c r="AW146" i="1"/>
  <c r="BI151" i="1"/>
  <c r="AE151" i="1" s="1"/>
  <c r="K151" i="1"/>
  <c r="BH153" i="1"/>
  <c r="AD153" i="1" s="1"/>
  <c r="J153" i="1"/>
  <c r="AL161" i="1"/>
  <c r="M161" i="1"/>
  <c r="BI161" i="1"/>
  <c r="AE161" i="1" s="1"/>
  <c r="K161" i="1"/>
  <c r="BH191" i="1"/>
  <c r="AD191" i="1" s="1"/>
  <c r="J191" i="1"/>
  <c r="AW191" i="1"/>
  <c r="AL216" i="1"/>
  <c r="M216" i="1"/>
  <c r="BH223" i="1"/>
  <c r="AW223" i="1"/>
  <c r="J223" i="1"/>
  <c r="AL230" i="1"/>
  <c r="M230" i="1"/>
  <c r="L227" i="1"/>
  <c r="F29" i="3" s="1"/>
  <c r="I29" i="3" s="1"/>
  <c r="AW234" i="1"/>
  <c r="BH234" i="1"/>
  <c r="AD234" i="1" s="1"/>
  <c r="J234" i="1"/>
  <c r="AL236" i="1"/>
  <c r="M236" i="1"/>
  <c r="AL104" i="1"/>
  <c r="BC118" i="1"/>
  <c r="BF131" i="1"/>
  <c r="J15" i="1"/>
  <c r="AV15" i="1"/>
  <c r="J21" i="1"/>
  <c r="AV21" i="1"/>
  <c r="J27" i="1"/>
  <c r="AV27" i="1"/>
  <c r="J31" i="1"/>
  <c r="AV31" i="1"/>
  <c r="J35" i="1"/>
  <c r="AV35" i="1"/>
  <c r="J38" i="1"/>
  <c r="J41" i="1"/>
  <c r="AV41" i="1"/>
  <c r="J44" i="1"/>
  <c r="AV44" i="1"/>
  <c r="J47" i="1"/>
  <c r="AV47" i="1"/>
  <c r="J50" i="1"/>
  <c r="AV50" i="1"/>
  <c r="O52" i="1"/>
  <c r="J57" i="1"/>
  <c r="J63" i="1"/>
  <c r="AV63" i="1"/>
  <c r="O67" i="1"/>
  <c r="G14" i="3" s="1"/>
  <c r="O69" i="1"/>
  <c r="G15" i="3" s="1"/>
  <c r="J74" i="1"/>
  <c r="AV74" i="1"/>
  <c r="J82" i="1"/>
  <c r="J79" i="1" s="1"/>
  <c r="D16" i="3" s="1"/>
  <c r="AV82" i="1"/>
  <c r="O85" i="1"/>
  <c r="G17" i="3" s="1"/>
  <c r="AV89" i="1"/>
  <c r="BI92" i="1"/>
  <c r="BF94" i="1"/>
  <c r="BH97" i="1"/>
  <c r="O98" i="1"/>
  <c r="G19" i="3" s="1"/>
  <c r="M99" i="1"/>
  <c r="K101" i="1"/>
  <c r="BH106" i="1"/>
  <c r="AD106" i="1" s="1"/>
  <c r="M107" i="1"/>
  <c r="AL107" i="1"/>
  <c r="K108" i="1"/>
  <c r="BH110" i="1"/>
  <c r="AD110" i="1" s="1"/>
  <c r="BI111" i="1"/>
  <c r="AE111" i="1" s="1"/>
  <c r="M112" i="1"/>
  <c r="O117" i="1"/>
  <c r="G21" i="3" s="1"/>
  <c r="AV118" i="1"/>
  <c r="BI118" i="1"/>
  <c r="AE118" i="1" s="1"/>
  <c r="M119" i="1"/>
  <c r="BH124" i="1"/>
  <c r="AD124" i="1" s="1"/>
  <c r="M125" i="1"/>
  <c r="K126" i="1"/>
  <c r="BH129" i="1"/>
  <c r="M131" i="1"/>
  <c r="K133" i="1"/>
  <c r="BH137" i="1"/>
  <c r="AD137" i="1" s="1"/>
  <c r="BI139" i="1"/>
  <c r="AE139" i="1" s="1"/>
  <c r="M141" i="1"/>
  <c r="BH145" i="1"/>
  <c r="AD145" i="1" s="1"/>
  <c r="AV149" i="1"/>
  <c r="AT176" i="1"/>
  <c r="AL108" i="1"/>
  <c r="M108" i="1"/>
  <c r="AL126" i="1"/>
  <c r="M126" i="1"/>
  <c r="AL175" i="1"/>
  <c r="AU174" i="1" s="1"/>
  <c r="M175" i="1"/>
  <c r="M174" i="1" s="1"/>
  <c r="L174" i="1"/>
  <c r="F24" i="3" s="1"/>
  <c r="I24" i="3" s="1"/>
  <c r="BI89" i="1"/>
  <c r="AC89" i="1" s="1"/>
  <c r="K89" i="1"/>
  <c r="AL111" i="1"/>
  <c r="M111" i="1"/>
  <c r="AL118" i="1"/>
  <c r="M118" i="1"/>
  <c r="AL139" i="1"/>
  <c r="M139" i="1"/>
  <c r="BH151" i="1"/>
  <c r="AD151" i="1" s="1"/>
  <c r="J151" i="1"/>
  <c r="AW151" i="1"/>
  <c r="AV158" i="1"/>
  <c r="BC158" i="1"/>
  <c r="BH162" i="1"/>
  <c r="AD162" i="1" s="1"/>
  <c r="J162" i="1"/>
  <c r="AL172" i="1"/>
  <c r="AU171" i="1" s="1"/>
  <c r="M172" i="1"/>
  <c r="M171" i="1" s="1"/>
  <c r="L171" i="1"/>
  <c r="F23" i="3" s="1"/>
  <c r="I23" i="3" s="1"/>
  <c r="BH189" i="1"/>
  <c r="J189" i="1"/>
  <c r="AW189" i="1"/>
  <c r="AL212" i="1"/>
  <c r="M212" i="1"/>
  <c r="BC225" i="1"/>
  <c r="AV225" i="1"/>
  <c r="BH228" i="1"/>
  <c r="AD228" i="1" s="1"/>
  <c r="J228" i="1"/>
  <c r="AW228" i="1"/>
  <c r="BH236" i="1"/>
  <c r="AW236" i="1"/>
  <c r="J236" i="1"/>
  <c r="AW240" i="1"/>
  <c r="BH240" i="1"/>
  <c r="L93" i="1"/>
  <c r="F18" i="3" s="1"/>
  <c r="I18" i="3" s="1"/>
  <c r="K94" i="1"/>
  <c r="BC99" i="1"/>
  <c r="BC107" i="1"/>
  <c r="BC125" i="1"/>
  <c r="BC131" i="1"/>
  <c r="AV135" i="1"/>
  <c r="BI153" i="1"/>
  <c r="AE153" i="1" s="1"/>
  <c r="C21" i="5"/>
  <c r="C21" i="7"/>
  <c r="AL101" i="1"/>
  <c r="M101" i="1"/>
  <c r="AV162" i="1"/>
  <c r="BC162" i="1"/>
  <c r="BH197" i="1"/>
  <c r="AD197" i="1" s="1"/>
  <c r="J197" i="1"/>
  <c r="AW197" i="1"/>
  <c r="I44" i="2"/>
  <c r="K44" i="2"/>
  <c r="AL92" i="1"/>
  <c r="M92" i="1"/>
  <c r="M85" i="1" s="1"/>
  <c r="BI114" i="1"/>
  <c r="AE114" i="1" s="1"/>
  <c r="K114" i="1"/>
  <c r="BI120" i="1"/>
  <c r="AE120" i="1" s="1"/>
  <c r="K120" i="1"/>
  <c r="BI142" i="1"/>
  <c r="AE142" i="1" s="1"/>
  <c r="K142" i="1"/>
  <c r="AL156" i="1"/>
  <c r="M156" i="1"/>
  <c r="BI156" i="1"/>
  <c r="AE156" i="1" s="1"/>
  <c r="K156" i="1"/>
  <c r="AL187" i="1"/>
  <c r="M187" i="1"/>
  <c r="AL206" i="1"/>
  <c r="M206" i="1"/>
  <c r="BH214" i="1"/>
  <c r="AD214" i="1" s="1"/>
  <c r="J214" i="1"/>
  <c r="AW214" i="1"/>
  <c r="BC111" i="1"/>
  <c r="AX14" i="1"/>
  <c r="BC14" i="1" s="1"/>
  <c r="AX19" i="1"/>
  <c r="BC19" i="1" s="1"/>
  <c r="AX30" i="1"/>
  <c r="BC30" i="1" s="1"/>
  <c r="AX43" i="1"/>
  <c r="BC43" i="1" s="1"/>
  <c r="AX46" i="1"/>
  <c r="AV46" i="1" s="1"/>
  <c r="AX49" i="1"/>
  <c r="BC49" i="1" s="1"/>
  <c r="AX55" i="1"/>
  <c r="AV55" i="1" s="1"/>
  <c r="AX61" i="1"/>
  <c r="AX72" i="1"/>
  <c r="AX78" i="1"/>
  <c r="AX80" i="1"/>
  <c r="AX94" i="1"/>
  <c r="AV94" i="1" s="1"/>
  <c r="J99" i="1"/>
  <c r="J98" i="1" s="1"/>
  <c r="D19" i="3" s="1"/>
  <c r="AX101" i="1"/>
  <c r="AV101" i="1" s="1"/>
  <c r="O105" i="1"/>
  <c r="G20" i="3" s="1"/>
  <c r="J107" i="1"/>
  <c r="AX108" i="1"/>
  <c r="AV108" i="1" s="1"/>
  <c r="K111" i="1"/>
  <c r="AW112" i="1"/>
  <c r="L117" i="1"/>
  <c r="F21" i="3" s="1"/>
  <c r="I21" i="3" s="1"/>
  <c r="K118" i="1"/>
  <c r="AW119" i="1"/>
  <c r="J125" i="1"/>
  <c r="AX126" i="1"/>
  <c r="AV126" i="1" s="1"/>
  <c r="J131" i="1"/>
  <c r="AX133" i="1"/>
  <c r="AV133" i="1" s="1"/>
  <c r="K139" i="1"/>
  <c r="AW141" i="1"/>
  <c r="AV148" i="1"/>
  <c r="C19" i="7"/>
  <c r="C19" i="5"/>
  <c r="AL116" i="1"/>
  <c r="M116" i="1"/>
  <c r="AL123" i="1"/>
  <c r="M123" i="1"/>
  <c r="AL143" i="1"/>
  <c r="M143" i="1"/>
  <c r="BH158" i="1"/>
  <c r="AD158" i="1" s="1"/>
  <c r="J158" i="1"/>
  <c r="AL169" i="1"/>
  <c r="M169" i="1"/>
  <c r="AL182" i="1"/>
  <c r="M182" i="1"/>
  <c r="BF191" i="1"/>
  <c r="O190" i="1"/>
  <c r="G26" i="3" s="1"/>
  <c r="AL201" i="1"/>
  <c r="M201" i="1"/>
  <c r="BH208" i="1"/>
  <c r="AD208" i="1" s="1"/>
  <c r="J208" i="1"/>
  <c r="AW208" i="1"/>
  <c r="BC219" i="1"/>
  <c r="AV219" i="1"/>
  <c r="BI221" i="1"/>
  <c r="AE221" i="1" s="1"/>
  <c r="K221" i="1"/>
  <c r="K218" i="1" s="1"/>
  <c r="E27" i="3" s="1"/>
  <c r="AX221" i="1"/>
  <c r="BC92" i="1"/>
  <c r="C28" i="5"/>
  <c r="F28" i="5" s="1"/>
  <c r="AX24" i="1"/>
  <c r="BC24" i="1" s="1"/>
  <c r="AX34" i="1"/>
  <c r="BC34" i="1" s="1"/>
  <c r="AX37" i="1"/>
  <c r="BC37" i="1" s="1"/>
  <c r="AX40" i="1"/>
  <c r="BC40" i="1" s="1"/>
  <c r="K14" i="1"/>
  <c r="C27" i="5"/>
  <c r="M15" i="1"/>
  <c r="K19" i="1"/>
  <c r="M21" i="1"/>
  <c r="K24" i="1"/>
  <c r="M27" i="1"/>
  <c r="K30" i="1"/>
  <c r="M31" i="1"/>
  <c r="K34" i="1"/>
  <c r="M35" i="1"/>
  <c r="K37" i="1"/>
  <c r="M38" i="1"/>
  <c r="K40" i="1"/>
  <c r="M41" i="1"/>
  <c r="K43" i="1"/>
  <c r="M44" i="1"/>
  <c r="K46" i="1"/>
  <c r="M47" i="1"/>
  <c r="K49" i="1"/>
  <c r="M50" i="1"/>
  <c r="K55" i="1"/>
  <c r="M57" i="1"/>
  <c r="K61" i="1"/>
  <c r="M63" i="1"/>
  <c r="K72" i="1"/>
  <c r="K69" i="1" s="1"/>
  <c r="E15" i="3" s="1"/>
  <c r="M74" i="1"/>
  <c r="K78" i="1"/>
  <c r="K80" i="1"/>
  <c r="K79" i="1" s="1"/>
  <c r="E16" i="3" s="1"/>
  <c r="M82" i="1"/>
  <c r="M79" i="1" s="1"/>
  <c r="K92" i="1"/>
  <c r="J112" i="1"/>
  <c r="J119" i="1"/>
  <c r="J141" i="1"/>
  <c r="BI148" i="1"/>
  <c r="AE148" i="1" s="1"/>
  <c r="M149" i="1"/>
  <c r="AL133" i="1"/>
  <c r="M133" i="1"/>
  <c r="BH166" i="1"/>
  <c r="AD166" i="1" s="1"/>
  <c r="J166" i="1"/>
  <c r="AW166" i="1"/>
  <c r="BH179" i="1"/>
  <c r="AD179" i="1" s="1"/>
  <c r="J179" i="1"/>
  <c r="AW179" i="1"/>
  <c r="I49" i="2"/>
  <c r="C20" i="5"/>
  <c r="C20" i="7"/>
  <c r="BI99" i="1"/>
  <c r="AE99" i="1" s="1"/>
  <c r="K99" i="1"/>
  <c r="BI107" i="1"/>
  <c r="AE107" i="1" s="1"/>
  <c r="K107" i="1"/>
  <c r="K105" i="1" s="1"/>
  <c r="E20" i="3" s="1"/>
  <c r="BI125" i="1"/>
  <c r="AE125" i="1" s="1"/>
  <c r="K125" i="1"/>
  <c r="BI131" i="1"/>
  <c r="AE131" i="1" s="1"/>
  <c r="K131" i="1"/>
  <c r="AV153" i="1"/>
  <c r="BC153" i="1"/>
  <c r="AL164" i="1"/>
  <c r="M164" i="1"/>
  <c r="AL177" i="1"/>
  <c r="M177" i="1"/>
  <c r="L176" i="1"/>
  <c r="F25" i="3" s="1"/>
  <c r="I25" i="3" s="1"/>
  <c r="BH184" i="1"/>
  <c r="AD184" i="1" s="1"/>
  <c r="J184" i="1"/>
  <c r="AW184" i="1"/>
  <c r="AL195" i="1"/>
  <c r="M195" i="1"/>
  <c r="L190" i="1"/>
  <c r="F26" i="3" s="1"/>
  <c r="I26" i="3" s="1"/>
  <c r="BH203" i="1"/>
  <c r="AD203" i="1" s="1"/>
  <c r="J203" i="1"/>
  <c r="AW203" i="1"/>
  <c r="BF228" i="1"/>
  <c r="O227" i="1"/>
  <c r="G29" i="3" s="1"/>
  <c r="AL238" i="1"/>
  <c r="M238" i="1"/>
  <c r="L237" i="1"/>
  <c r="F30" i="3" s="1"/>
  <c r="I30" i="3" s="1"/>
  <c r="BC139" i="1"/>
  <c r="J89" i="1"/>
  <c r="J85" i="1" s="1"/>
  <c r="D17" i="3" s="1"/>
  <c r="M96" i="1"/>
  <c r="J97" i="1"/>
  <c r="J93" i="1" s="1"/>
  <c r="D18" i="3" s="1"/>
  <c r="BH99" i="1"/>
  <c r="AD99" i="1" s="1"/>
  <c r="BH107" i="1"/>
  <c r="AD107" i="1" s="1"/>
  <c r="M109" i="1"/>
  <c r="J110" i="1"/>
  <c r="M114" i="1"/>
  <c r="AS117" i="1"/>
  <c r="M120" i="1"/>
  <c r="BH125" i="1"/>
  <c r="AD125" i="1" s="1"/>
  <c r="M128" i="1"/>
  <c r="J129" i="1"/>
  <c r="BH131" i="1"/>
  <c r="AD131" i="1" s="1"/>
  <c r="M135" i="1"/>
  <c r="J137" i="1"/>
  <c r="M142" i="1"/>
  <c r="AX146" i="1"/>
  <c r="J241" i="1"/>
  <c r="D31" i="3" s="1"/>
  <c r="AL222" i="1"/>
  <c r="AU218" i="1" s="1"/>
  <c r="M222" i="1"/>
  <c r="I13" i="2"/>
  <c r="I18" i="2"/>
  <c r="I26" i="2"/>
  <c r="K26" i="2"/>
  <c r="I42" i="2"/>
  <c r="I47" i="2"/>
  <c r="K55" i="2"/>
  <c r="I55" i="2"/>
  <c r="I60" i="2"/>
  <c r="I70" i="2"/>
  <c r="I84" i="2"/>
  <c r="I105" i="2"/>
  <c r="I114" i="2"/>
  <c r="K114" i="2"/>
  <c r="I120" i="2"/>
  <c r="K129" i="2"/>
  <c r="I129" i="2"/>
  <c r="I134" i="2"/>
  <c r="K134" i="2"/>
  <c r="I141" i="2"/>
  <c r="I146" i="2"/>
  <c r="K157" i="2"/>
  <c r="I157" i="2"/>
  <c r="I162" i="2"/>
  <c r="I170" i="2"/>
  <c r="K170" i="2"/>
  <c r="I175" i="2"/>
  <c r="I183" i="2"/>
  <c r="K183" i="2"/>
  <c r="I188" i="2"/>
  <c r="I195" i="2"/>
  <c r="I200" i="2"/>
  <c r="I216" i="2"/>
  <c r="I215" i="2" s="1"/>
  <c r="K216" i="2"/>
  <c r="K215" i="2" s="1"/>
  <c r="M148" i="1"/>
  <c r="M153" i="1"/>
  <c r="AW156" i="1"/>
  <c r="M158" i="1"/>
  <c r="AW161" i="1"/>
  <c r="M162" i="1"/>
  <c r="K164" i="1"/>
  <c r="AW164" i="1"/>
  <c r="M166" i="1"/>
  <c r="K169" i="1"/>
  <c r="AW169" i="1"/>
  <c r="K172" i="1"/>
  <c r="K171" i="1" s="1"/>
  <c r="E23" i="3" s="1"/>
  <c r="AW172" i="1"/>
  <c r="K175" i="1"/>
  <c r="K174" i="1" s="1"/>
  <c r="E24" i="3" s="1"/>
  <c r="AW175" i="1"/>
  <c r="K177" i="1"/>
  <c r="AW177" i="1"/>
  <c r="M179" i="1"/>
  <c r="K182" i="1"/>
  <c r="AW182" i="1"/>
  <c r="M184" i="1"/>
  <c r="K187" i="1"/>
  <c r="AW187" i="1"/>
  <c r="M189" i="1"/>
  <c r="M191" i="1"/>
  <c r="K195" i="1"/>
  <c r="AW195" i="1"/>
  <c r="M197" i="1"/>
  <c r="K201" i="1"/>
  <c r="AW201" i="1"/>
  <c r="M203" i="1"/>
  <c r="K206" i="1"/>
  <c r="AW206" i="1"/>
  <c r="M208" i="1"/>
  <c r="K212" i="1"/>
  <c r="AW212" i="1"/>
  <c r="M214" i="1"/>
  <c r="K216" i="1"/>
  <c r="AW216" i="1"/>
  <c r="M217" i="1"/>
  <c r="J219" i="1"/>
  <c r="J225" i="1"/>
  <c r="J224" i="1" s="1"/>
  <c r="D28" i="3" s="1"/>
  <c r="M228" i="1"/>
  <c r="J230" i="1"/>
  <c r="AX231" i="1"/>
  <c r="M234" i="1"/>
  <c r="K236" i="1"/>
  <c r="BC238" i="1"/>
  <c r="BH238" i="1"/>
  <c r="AD238" i="1" s="1"/>
  <c r="O246" i="1"/>
  <c r="G32" i="3" s="1"/>
  <c r="M101" i="2"/>
  <c r="AL239" i="1"/>
  <c r="M239" i="1"/>
  <c r="AL243" i="1"/>
  <c r="M243" i="1"/>
  <c r="I16" i="2"/>
  <c r="I23" i="2"/>
  <c r="I40" i="2"/>
  <c r="K40" i="2"/>
  <c r="I45" i="2"/>
  <c r="I52" i="2"/>
  <c r="K52" i="2"/>
  <c r="I58" i="2"/>
  <c r="I67" i="2"/>
  <c r="K67" i="2"/>
  <c r="I90" i="2"/>
  <c r="K90" i="2"/>
  <c r="I103" i="2"/>
  <c r="I111" i="2"/>
  <c r="K111" i="2"/>
  <c r="I118" i="2"/>
  <c r="I127" i="2"/>
  <c r="I132" i="2"/>
  <c r="K139" i="2"/>
  <c r="I139" i="2"/>
  <c r="I144" i="2"/>
  <c r="I153" i="2"/>
  <c r="I152" i="2" s="1"/>
  <c r="K153" i="2"/>
  <c r="K152" i="2" s="1"/>
  <c r="I160" i="2"/>
  <c r="I168" i="2"/>
  <c r="I173" i="2"/>
  <c r="I180" i="2"/>
  <c r="K180" i="2"/>
  <c r="I197" i="2"/>
  <c r="K212" i="2"/>
  <c r="I212" i="2"/>
  <c r="H21" i="10"/>
  <c r="I21" i="10" s="1"/>
  <c r="H35" i="10"/>
  <c r="I35" i="10" s="1"/>
  <c r="I36" i="10" s="1"/>
  <c r="I23" i="9" s="1"/>
  <c r="J156" i="1"/>
  <c r="J161" i="1"/>
  <c r="J164" i="1"/>
  <c r="J169" i="1"/>
  <c r="J172" i="1"/>
  <c r="J171" i="1" s="1"/>
  <c r="D23" i="3" s="1"/>
  <c r="J175" i="1"/>
  <c r="J174" i="1" s="1"/>
  <c r="D24" i="3" s="1"/>
  <c r="J177" i="1"/>
  <c r="J182" i="1"/>
  <c r="J187" i="1"/>
  <c r="J195" i="1"/>
  <c r="J201" i="1"/>
  <c r="J206" i="1"/>
  <c r="J212" i="1"/>
  <c r="J216" i="1"/>
  <c r="AX217" i="1"/>
  <c r="M221" i="1"/>
  <c r="AW231" i="1"/>
  <c r="AX236" i="1"/>
  <c r="BF238" i="1"/>
  <c r="M12" i="2"/>
  <c r="M182" i="2"/>
  <c r="BI230" i="1"/>
  <c r="AE230" i="1" s="1"/>
  <c r="K230" i="1"/>
  <c r="AL247" i="1"/>
  <c r="AU246" i="1" s="1"/>
  <c r="M247" i="1"/>
  <c r="M246" i="1" s="1"/>
  <c r="I14" i="2"/>
  <c r="I20" i="2"/>
  <c r="I27" i="2"/>
  <c r="I33" i="2"/>
  <c r="I38" i="2"/>
  <c r="K38" i="2"/>
  <c r="I43" i="2"/>
  <c r="I50" i="2"/>
  <c r="K50" i="2"/>
  <c r="I56" i="2"/>
  <c r="I65" i="2"/>
  <c r="I77" i="2"/>
  <c r="I76" i="2" s="1"/>
  <c r="K77" i="2"/>
  <c r="I88" i="2"/>
  <c r="K88" i="2"/>
  <c r="I100" i="2"/>
  <c r="I108" i="2"/>
  <c r="K108" i="2"/>
  <c r="I124" i="2"/>
  <c r="K124" i="2"/>
  <c r="I130" i="2"/>
  <c r="K137" i="2"/>
  <c r="I137" i="2"/>
  <c r="I142" i="2"/>
  <c r="K150" i="2"/>
  <c r="I150" i="2"/>
  <c r="I158" i="2"/>
  <c r="I166" i="2"/>
  <c r="K166" i="2"/>
  <c r="K171" i="2"/>
  <c r="I171" i="2"/>
  <c r="I178" i="2"/>
  <c r="K178" i="2"/>
  <c r="K208" i="2"/>
  <c r="I208" i="2"/>
  <c r="BH230" i="1"/>
  <c r="AD230" i="1" s="1"/>
  <c r="M232" i="1"/>
  <c r="BC239" i="1"/>
  <c r="AV242" i="1"/>
  <c r="BC243" i="1"/>
  <c r="M53" i="2"/>
  <c r="M91" i="2"/>
  <c r="F29" i="6"/>
  <c r="AL231" i="1"/>
  <c r="M231" i="1"/>
  <c r="AL242" i="1"/>
  <c r="M242" i="1"/>
  <c r="BH247" i="1"/>
  <c r="AB247" i="1" s="1"/>
  <c r="J247" i="1"/>
  <c r="J246" i="1" s="1"/>
  <c r="D32" i="3" s="1"/>
  <c r="AW247" i="1"/>
  <c r="I25" i="2"/>
  <c r="I41" i="2"/>
  <c r="I48" i="2"/>
  <c r="K48" i="2"/>
  <c r="I54" i="2"/>
  <c r="I62" i="2"/>
  <c r="I61" i="2" s="1"/>
  <c r="K62" i="2"/>
  <c r="K61" i="2" s="1"/>
  <c r="I68" i="2"/>
  <c r="K74" i="2"/>
  <c r="I74" i="2"/>
  <c r="I86" i="2"/>
  <c r="K86" i="2"/>
  <c r="I92" i="2"/>
  <c r="K96" i="2"/>
  <c r="I96" i="2"/>
  <c r="I106" i="2"/>
  <c r="K106" i="2"/>
  <c r="I113" i="2"/>
  <c r="I121" i="2"/>
  <c r="K121" i="2"/>
  <c r="I128" i="2"/>
  <c r="K135" i="2"/>
  <c r="I135" i="2"/>
  <c r="I140" i="2"/>
  <c r="K147" i="2"/>
  <c r="I147" i="2"/>
  <c r="I155" i="2"/>
  <c r="I154" i="2" s="1"/>
  <c r="K163" i="2"/>
  <c r="I163" i="2"/>
  <c r="I169" i="2"/>
  <c r="I176" i="2"/>
  <c r="K176" i="2"/>
  <c r="I181" i="2"/>
  <c r="K190" i="2"/>
  <c r="K189" i="2" s="1"/>
  <c r="I190" i="2"/>
  <c r="I189" i="2" s="1"/>
  <c r="I202" i="2"/>
  <c r="K202" i="2"/>
  <c r="I214" i="2"/>
  <c r="O218" i="1"/>
  <c r="G27" i="3" s="1"/>
  <c r="M219" i="1"/>
  <c r="M225" i="1"/>
  <c r="M224" i="1" s="1"/>
  <c r="J239" i="1"/>
  <c r="J237" i="1" s="1"/>
  <c r="D30" i="3" s="1"/>
  <c r="BH239" i="1"/>
  <c r="AD239" i="1" s="1"/>
  <c r="BH243" i="1"/>
  <c r="AD243" i="1" s="1"/>
  <c r="M76" i="2"/>
  <c r="M207" i="2"/>
  <c r="BI234" i="1"/>
  <c r="AE234" i="1" s="1"/>
  <c r="K234" i="1"/>
  <c r="AL240" i="1"/>
  <c r="M240" i="1"/>
  <c r="AL245" i="1"/>
  <c r="M245" i="1"/>
  <c r="I17" i="2"/>
  <c r="K17" i="2"/>
  <c r="I29" i="2"/>
  <c r="I39" i="2"/>
  <c r="I46" i="2"/>
  <c r="I51" i="2"/>
  <c r="K59" i="2"/>
  <c r="I59" i="2"/>
  <c r="I66" i="2"/>
  <c r="I104" i="2"/>
  <c r="K104" i="2"/>
  <c r="I110" i="2"/>
  <c r="I119" i="2"/>
  <c r="K119" i="2"/>
  <c r="I126" i="2"/>
  <c r="K133" i="2"/>
  <c r="I133" i="2"/>
  <c r="I138" i="2"/>
  <c r="K145" i="2"/>
  <c r="I145" i="2"/>
  <c r="I151" i="2"/>
  <c r="K161" i="2"/>
  <c r="I161" i="2"/>
  <c r="I167" i="2"/>
  <c r="I174" i="2"/>
  <c r="K174" i="2"/>
  <c r="I179" i="2"/>
  <c r="I187" i="2"/>
  <c r="K187" i="2"/>
  <c r="I198" i="2"/>
  <c r="K198" i="2"/>
  <c r="M63" i="2"/>
  <c r="F23" i="5"/>
  <c r="K243" i="1"/>
  <c r="IR19" i="2"/>
  <c r="IR24" i="2"/>
  <c r="IR28" i="2"/>
  <c r="IR30" i="2"/>
  <c r="IR32" i="2"/>
  <c r="IR34" i="2"/>
  <c r="IS81" i="2"/>
  <c r="J81" i="2" s="1"/>
  <c r="J76" i="2" s="1"/>
  <c r="IS84" i="2"/>
  <c r="J84" i="2" s="1"/>
  <c r="IS103" i="2"/>
  <c r="J103" i="2" s="1"/>
  <c r="IS105" i="2"/>
  <c r="J105" i="2" s="1"/>
  <c r="IS107" i="2"/>
  <c r="J107" i="2" s="1"/>
  <c r="IS110" i="2"/>
  <c r="J110" i="2" s="1"/>
  <c r="IS167" i="2"/>
  <c r="J167" i="2" s="1"/>
  <c r="IS169" i="2"/>
  <c r="J169" i="2" s="1"/>
  <c r="IS171" i="2"/>
  <c r="J171" i="2" s="1"/>
  <c r="IS173" i="2"/>
  <c r="J173" i="2" s="1"/>
  <c r="IS175" i="2"/>
  <c r="J175" i="2" s="1"/>
  <c r="IS177" i="2"/>
  <c r="J177" i="2" s="1"/>
  <c r="IS179" i="2"/>
  <c r="J179" i="2" s="1"/>
  <c r="IS181" i="2"/>
  <c r="J181" i="2" s="1"/>
  <c r="IS193" i="2"/>
  <c r="J193" i="2" s="1"/>
  <c r="IS195" i="2"/>
  <c r="J195" i="2" s="1"/>
  <c r="IS197" i="2"/>
  <c r="J197" i="2" s="1"/>
  <c r="IS200" i="2"/>
  <c r="J200" i="2" s="1"/>
  <c r="IR205" i="2"/>
  <c r="IS72" i="2"/>
  <c r="IS94" i="2"/>
  <c r="IS99" i="2"/>
  <c r="IS210" i="2"/>
  <c r="IS14" i="2"/>
  <c r="J14" i="2" s="1"/>
  <c r="IS16" i="2"/>
  <c r="J16" i="2" s="1"/>
  <c r="IS18" i="2"/>
  <c r="J18" i="2" s="1"/>
  <c r="IS20" i="2"/>
  <c r="J20" i="2" s="1"/>
  <c r="IS23" i="2"/>
  <c r="J23" i="2" s="1"/>
  <c r="IS25" i="2"/>
  <c r="J25" i="2" s="1"/>
  <c r="IS27" i="2"/>
  <c r="J27" i="2" s="1"/>
  <c r="IS29" i="2"/>
  <c r="J29" i="2" s="1"/>
  <c r="IS33" i="2"/>
  <c r="J33" i="2" s="1"/>
  <c r="IS37" i="2"/>
  <c r="J37" i="2" s="1"/>
  <c r="IS39" i="2"/>
  <c r="J39" i="2" s="1"/>
  <c r="IS41" i="2"/>
  <c r="J41" i="2" s="1"/>
  <c r="IS43" i="2"/>
  <c r="J43" i="2" s="1"/>
  <c r="IS45" i="2"/>
  <c r="J45" i="2" s="1"/>
  <c r="IS47" i="2"/>
  <c r="J47" i="2" s="1"/>
  <c r="IS49" i="2"/>
  <c r="J49" i="2" s="1"/>
  <c r="IS51" i="2"/>
  <c r="J51" i="2" s="1"/>
  <c r="IS64" i="2"/>
  <c r="J64" i="2" s="1"/>
  <c r="IS66" i="2"/>
  <c r="J66" i="2" s="1"/>
  <c r="IS68" i="2"/>
  <c r="J68" i="2" s="1"/>
  <c r="IS113" i="2"/>
  <c r="J113" i="2" s="1"/>
  <c r="IS118" i="2"/>
  <c r="J118" i="2" s="1"/>
  <c r="IS120" i="2"/>
  <c r="J120" i="2" s="1"/>
  <c r="IS123" i="2"/>
  <c r="J123" i="2" s="1"/>
  <c r="IS155" i="2"/>
  <c r="J155" i="2" s="1"/>
  <c r="J154" i="2" s="1"/>
  <c r="IS188" i="2"/>
  <c r="J188" i="2" s="1"/>
  <c r="J182" i="2" s="1"/>
  <c r="IS204" i="2"/>
  <c r="J204" i="2" s="1"/>
  <c r="IS206" i="2"/>
  <c r="J206" i="2" s="1"/>
  <c r="K240" i="1"/>
  <c r="K242" i="1"/>
  <c r="IS54" i="2"/>
  <c r="J54" i="2" s="1"/>
  <c r="IS56" i="2"/>
  <c r="J56" i="2" s="1"/>
  <c r="IS58" i="2"/>
  <c r="J58" i="2" s="1"/>
  <c r="IS60" i="2"/>
  <c r="J60" i="2" s="1"/>
  <c r="IS75" i="2"/>
  <c r="J75" i="2" s="1"/>
  <c r="IS92" i="2"/>
  <c r="J92" i="2" s="1"/>
  <c r="IS100" i="2"/>
  <c r="J100" i="2" s="1"/>
  <c r="IS126" i="2"/>
  <c r="J126" i="2" s="1"/>
  <c r="IS128" i="2"/>
  <c r="J128" i="2" s="1"/>
  <c r="IS130" i="2"/>
  <c r="J130" i="2" s="1"/>
  <c r="IS132" i="2"/>
  <c r="J132" i="2" s="1"/>
  <c r="IS134" i="2"/>
  <c r="J134" i="2" s="1"/>
  <c r="IS136" i="2"/>
  <c r="J136" i="2" s="1"/>
  <c r="IS138" i="2"/>
  <c r="J138" i="2" s="1"/>
  <c r="IS140" i="2"/>
  <c r="J140" i="2" s="1"/>
  <c r="IS142" i="2"/>
  <c r="J142" i="2" s="1"/>
  <c r="IS144" i="2"/>
  <c r="J144" i="2" s="1"/>
  <c r="IS146" i="2"/>
  <c r="J146" i="2" s="1"/>
  <c r="IS149" i="2"/>
  <c r="J149" i="2" s="1"/>
  <c r="IS151" i="2"/>
  <c r="J151" i="2" s="1"/>
  <c r="IS158" i="2"/>
  <c r="J158" i="2" s="1"/>
  <c r="IS160" i="2"/>
  <c r="J160" i="2" s="1"/>
  <c r="IS162" i="2"/>
  <c r="J162" i="2" s="1"/>
  <c r="IS164" i="2"/>
  <c r="J164" i="2" s="1"/>
  <c r="IS209" i="2"/>
  <c r="IS211" i="2"/>
  <c r="IS214" i="2"/>
  <c r="J214" i="2" s="1"/>
  <c r="M165" i="2" l="1"/>
  <c r="M11" i="2" s="1"/>
  <c r="J156" i="2"/>
  <c r="BC222" i="1"/>
  <c r="K127" i="2"/>
  <c r="BC46" i="1"/>
  <c r="AU98" i="1"/>
  <c r="M203" i="2"/>
  <c r="BC84" i="1"/>
  <c r="K70" i="2"/>
  <c r="K46" i="2"/>
  <c r="K85" i="2"/>
  <c r="K141" i="2"/>
  <c r="K60" i="2"/>
  <c r="K98" i="1"/>
  <c r="E19" i="3" s="1"/>
  <c r="AV143" i="1"/>
  <c r="AV232" i="1"/>
  <c r="M125" i="2"/>
  <c r="M112" i="2"/>
  <c r="J207" i="2"/>
  <c r="J112" i="2"/>
  <c r="BC57" i="1"/>
  <c r="BC159" i="1"/>
  <c r="C16" i="7"/>
  <c r="J117" i="1"/>
  <c r="D21" i="3" s="1"/>
  <c r="M52" i="1"/>
  <c r="AV128" i="1"/>
  <c r="AV38" i="1"/>
  <c r="M69" i="2"/>
  <c r="AU241" i="1"/>
  <c r="K42" i="2"/>
  <c r="BC108" i="1"/>
  <c r="K39" i="2"/>
  <c r="AV36" i="1"/>
  <c r="AV49" i="1"/>
  <c r="K241" i="1"/>
  <c r="E31" i="3" s="1"/>
  <c r="J203" i="2"/>
  <c r="AU237" i="1"/>
  <c r="M237" i="1"/>
  <c r="K227" i="1"/>
  <c r="E29" i="3" s="1"/>
  <c r="AU227" i="1"/>
  <c r="K190" i="1"/>
  <c r="E26" i="3" s="1"/>
  <c r="AU190" i="1"/>
  <c r="K173" i="2"/>
  <c r="K168" i="2"/>
  <c r="J190" i="1"/>
  <c r="D26" i="3" s="1"/>
  <c r="AV193" i="1"/>
  <c r="BC193" i="1"/>
  <c r="BC163" i="1"/>
  <c r="AV163" i="1"/>
  <c r="AU130" i="1"/>
  <c r="K130" i="1"/>
  <c r="E22" i="3" s="1"/>
  <c r="BC126" i="1"/>
  <c r="AU105" i="1"/>
  <c r="M105" i="1"/>
  <c r="J105" i="1"/>
  <c r="D20" i="3" s="1"/>
  <c r="C17" i="5"/>
  <c r="AV104" i="1"/>
  <c r="BC104" i="1"/>
  <c r="BC101" i="1"/>
  <c r="C17" i="7"/>
  <c r="C16" i="5"/>
  <c r="C26" i="7"/>
  <c r="F26" i="7" s="1"/>
  <c r="K85" i="1"/>
  <c r="E17" i="3" s="1"/>
  <c r="M69" i="1"/>
  <c r="J69" i="1"/>
  <c r="D15" i="3" s="1"/>
  <c r="C14" i="5"/>
  <c r="J52" i="1"/>
  <c r="D13" i="3" s="1"/>
  <c r="K52" i="1"/>
  <c r="E13" i="3" s="1"/>
  <c r="C14" i="7"/>
  <c r="K57" i="2"/>
  <c r="AV39" i="1"/>
  <c r="BC39" i="1"/>
  <c r="AV45" i="1"/>
  <c r="BC45" i="1"/>
  <c r="J13" i="1"/>
  <c r="BC36" i="1"/>
  <c r="C25" i="7"/>
  <c r="L248" i="1"/>
  <c r="AV32" i="1"/>
  <c r="BC32" i="1"/>
  <c r="M13" i="1"/>
  <c r="C15" i="7"/>
  <c r="K25" i="2"/>
  <c r="K22" i="2"/>
  <c r="AV19" i="1"/>
  <c r="BC17" i="1"/>
  <c r="J12" i="2"/>
  <c r="K66" i="2"/>
  <c r="K181" i="2"/>
  <c r="K130" i="2"/>
  <c r="K100" i="2"/>
  <c r="K65" i="2"/>
  <c r="K195" i="2"/>
  <c r="K13" i="2"/>
  <c r="J192" i="2"/>
  <c r="J101" i="2"/>
  <c r="J69" i="2"/>
  <c r="K43" i="2"/>
  <c r="K175" i="2"/>
  <c r="K146" i="2"/>
  <c r="K159" i="2"/>
  <c r="K131" i="2"/>
  <c r="K102" i="2"/>
  <c r="J165" i="2"/>
  <c r="J91" i="2"/>
  <c r="I85" i="2"/>
  <c r="K54" i="2"/>
  <c r="K27" i="2"/>
  <c r="K132" i="2"/>
  <c r="K185" i="2"/>
  <c r="K107" i="2"/>
  <c r="K193" i="2"/>
  <c r="K15" i="2"/>
  <c r="BC201" i="1"/>
  <c r="AV201" i="1"/>
  <c r="D12" i="3"/>
  <c r="AV112" i="1"/>
  <c r="BC112" i="1"/>
  <c r="AV61" i="1"/>
  <c r="BC61" i="1"/>
  <c r="BC240" i="1"/>
  <c r="AV240" i="1"/>
  <c r="AV191" i="1"/>
  <c r="BC191" i="1"/>
  <c r="AV217" i="1"/>
  <c r="BC217" i="1"/>
  <c r="J125" i="2"/>
  <c r="M176" i="1"/>
  <c r="C15" i="5"/>
  <c r="K179" i="2"/>
  <c r="M190" i="1"/>
  <c r="I192" i="2"/>
  <c r="K149" i="2"/>
  <c r="K75" i="2"/>
  <c r="K69" i="2" s="1"/>
  <c r="K37" i="2"/>
  <c r="AU85" i="1"/>
  <c r="BC55" i="1"/>
  <c r="AV72" i="1"/>
  <c r="BC72" i="1"/>
  <c r="AV197" i="1"/>
  <c r="BC197" i="1"/>
  <c r="AV189" i="1"/>
  <c r="BC189" i="1"/>
  <c r="AV146" i="1"/>
  <c r="BC146" i="1"/>
  <c r="K140" i="2"/>
  <c r="K138" i="2"/>
  <c r="K169" i="2"/>
  <c r="J130" i="1"/>
  <c r="D22" i="3" s="1"/>
  <c r="J227" i="1"/>
  <c r="D29" i="3" s="1"/>
  <c r="K177" i="2"/>
  <c r="K81" i="2"/>
  <c r="AV34" i="1"/>
  <c r="AV24" i="1"/>
  <c r="BC133" i="1"/>
  <c r="BC212" i="1"/>
  <c r="AV212" i="1"/>
  <c r="BC172" i="1"/>
  <c r="AV172" i="1"/>
  <c r="BC231" i="1"/>
  <c r="AV231" i="1"/>
  <c r="I27" i="10"/>
  <c r="F29" i="10" s="1"/>
  <c r="I14" i="9"/>
  <c r="I22" i="9" s="1"/>
  <c r="C27" i="9" s="1"/>
  <c r="AV179" i="1"/>
  <c r="BC179" i="1"/>
  <c r="BC216" i="1"/>
  <c r="AV216" i="1"/>
  <c r="BC206" i="1"/>
  <c r="AV206" i="1"/>
  <c r="BC195" i="1"/>
  <c r="AV195" i="1"/>
  <c r="BC175" i="1"/>
  <c r="AV175" i="1"/>
  <c r="BC156" i="1"/>
  <c r="AV156" i="1"/>
  <c r="AV221" i="1"/>
  <c r="BC221" i="1"/>
  <c r="AV78" i="1"/>
  <c r="BC78" i="1"/>
  <c r="AV214" i="1"/>
  <c r="BC214" i="1"/>
  <c r="AV228" i="1"/>
  <c r="BC228" i="1"/>
  <c r="K16" i="2"/>
  <c r="I156" i="2"/>
  <c r="K167" i="2"/>
  <c r="I125" i="2"/>
  <c r="M218" i="1"/>
  <c r="K128" i="2"/>
  <c r="K41" i="2"/>
  <c r="K158" i="2"/>
  <c r="K33" i="2"/>
  <c r="K14" i="2"/>
  <c r="K160" i="2"/>
  <c r="K118" i="2"/>
  <c r="K23" i="2"/>
  <c r="K200" i="2"/>
  <c r="I182" i="2"/>
  <c r="K84" i="2"/>
  <c r="K117" i="1"/>
  <c r="E21" i="3" s="1"/>
  <c r="M130" i="1"/>
  <c r="M93" i="1"/>
  <c r="K204" i="2"/>
  <c r="K136" i="2"/>
  <c r="K237" i="1"/>
  <c r="E30" i="3" s="1"/>
  <c r="I205" i="2"/>
  <c r="I203" i="2" s="1"/>
  <c r="K205" i="2"/>
  <c r="AV203" i="1"/>
  <c r="BC203" i="1"/>
  <c r="AV184" i="1"/>
  <c r="BC184" i="1"/>
  <c r="AV208" i="1"/>
  <c r="BC208" i="1"/>
  <c r="AV119" i="1"/>
  <c r="BC119" i="1"/>
  <c r="AV80" i="1"/>
  <c r="BC80" i="1"/>
  <c r="AV151" i="1"/>
  <c r="BC151" i="1"/>
  <c r="AV234" i="1"/>
  <c r="BC234" i="1"/>
  <c r="K151" i="2"/>
  <c r="I53" i="2"/>
  <c r="J63" i="2"/>
  <c r="I112" i="2"/>
  <c r="I91" i="2"/>
  <c r="I165" i="2"/>
  <c r="J176" i="1"/>
  <c r="D25" i="3" s="1"/>
  <c r="K197" i="2"/>
  <c r="K103" i="2"/>
  <c r="K176" i="1"/>
  <c r="E25" i="3" s="1"/>
  <c r="K162" i="2"/>
  <c r="K120" i="2"/>
  <c r="K49" i="2"/>
  <c r="K13" i="1"/>
  <c r="K93" i="1"/>
  <c r="E18" i="3" s="1"/>
  <c r="AU117" i="1"/>
  <c r="M98" i="1"/>
  <c r="I101" i="2"/>
  <c r="I63" i="2"/>
  <c r="AV30" i="1"/>
  <c r="AV43" i="1"/>
  <c r="AV37" i="1"/>
  <c r="AV40" i="1"/>
  <c r="AV14" i="1"/>
  <c r="BC182" i="1"/>
  <c r="AV182" i="1"/>
  <c r="BC164" i="1"/>
  <c r="AV164" i="1"/>
  <c r="AV247" i="1"/>
  <c r="BC247" i="1"/>
  <c r="BC187" i="1"/>
  <c r="AV187" i="1"/>
  <c r="BC177" i="1"/>
  <c r="AV177" i="1"/>
  <c r="BC169" i="1"/>
  <c r="AV169" i="1"/>
  <c r="BC161" i="1"/>
  <c r="AV161" i="1"/>
  <c r="AV166" i="1"/>
  <c r="BC166" i="1"/>
  <c r="AV141" i="1"/>
  <c r="BC141" i="1"/>
  <c r="BC236" i="1"/>
  <c r="AV236" i="1"/>
  <c r="G13" i="3"/>
  <c r="O12" i="1"/>
  <c r="G11" i="3" s="1"/>
  <c r="AV223" i="1"/>
  <c r="BC223" i="1"/>
  <c r="BC245" i="1"/>
  <c r="AV245" i="1"/>
  <c r="K188" i="2"/>
  <c r="K182" i="2" s="1"/>
  <c r="K214" i="2"/>
  <c r="K207" i="2" s="1"/>
  <c r="K45" i="2"/>
  <c r="M227" i="1"/>
  <c r="M241" i="1"/>
  <c r="I69" i="2"/>
  <c r="K47" i="2"/>
  <c r="K18" i="2"/>
  <c r="K126" i="2"/>
  <c r="K51" i="2"/>
  <c r="K29" i="2"/>
  <c r="J53" i="2"/>
  <c r="K110" i="2"/>
  <c r="K155" i="2"/>
  <c r="K154" i="2" s="1"/>
  <c r="K113" i="2"/>
  <c r="K92" i="2"/>
  <c r="K91" i="2" s="1"/>
  <c r="K68" i="2"/>
  <c r="I207" i="2"/>
  <c r="K142" i="2"/>
  <c r="K56" i="2"/>
  <c r="K20" i="2"/>
  <c r="K144" i="2"/>
  <c r="K58" i="2"/>
  <c r="J218" i="1"/>
  <c r="D27" i="3" s="1"/>
  <c r="K105" i="2"/>
  <c r="I12" i="2"/>
  <c r="AU176" i="1"/>
  <c r="F33" i="3"/>
  <c r="M117" i="1"/>
  <c r="K206" i="2"/>
  <c r="K164" i="2"/>
  <c r="K123" i="2"/>
  <c r="K64" i="2"/>
  <c r="L12" i="1"/>
  <c r="F11" i="3" s="1"/>
  <c r="K53" i="2" l="1"/>
  <c r="K76" i="2"/>
  <c r="K165" i="2"/>
  <c r="K156" i="2"/>
  <c r="C22" i="5"/>
  <c r="K63" i="2"/>
  <c r="C22" i="7"/>
  <c r="H35" i="8" s="1"/>
  <c r="I35" i="8" s="1"/>
  <c r="I36" i="8" s="1"/>
  <c r="I23" i="7" s="1"/>
  <c r="I25" i="5" s="1"/>
  <c r="M12" i="1"/>
  <c r="K12" i="2"/>
  <c r="K192" i="2"/>
  <c r="J11" i="2"/>
  <c r="K101" i="2"/>
  <c r="K112" i="2"/>
  <c r="I11" i="2"/>
  <c r="M248" i="1"/>
  <c r="J12" i="1"/>
  <c r="D11" i="3" s="1"/>
  <c r="F27" i="9"/>
  <c r="I26" i="9"/>
  <c r="K125" i="2"/>
  <c r="K203" i="2"/>
  <c r="E12" i="3"/>
  <c r="K12" i="1"/>
  <c r="E11" i="3" s="1"/>
  <c r="H21" i="8" l="1"/>
  <c r="I21" i="8" s="1"/>
  <c r="I14" i="7" s="1"/>
  <c r="I22" i="7" s="1"/>
  <c r="K11" i="2"/>
  <c r="I27" i="9"/>
  <c r="K218" i="2"/>
  <c r="I27" i="8" l="1"/>
  <c r="F29" i="8" s="1"/>
  <c r="I23" i="5"/>
  <c r="C29" i="5" s="1"/>
  <c r="C27" i="7"/>
  <c r="F29" i="5" l="1"/>
  <c r="I28" i="5"/>
  <c r="F27" i="7"/>
  <c r="I26" i="7"/>
  <c r="I27" i="7" l="1"/>
  <c r="I29" i="5"/>
</calcChain>
</file>

<file path=xl/sharedStrings.xml><?xml version="1.0" encoding="utf-8"?>
<sst xmlns="http://schemas.openxmlformats.org/spreadsheetml/2006/main" count="4204" uniqueCount="815">
  <si>
    <t>Stavební rozpočet</t>
  </si>
  <si>
    <t>Název stavby:</t>
  </si>
  <si>
    <t>KD K-trio-Oprava sociálních zařízení a šaten</t>
  </si>
  <si>
    <t>Doba výstavby:</t>
  </si>
  <si>
    <t xml:space="preserve"> </t>
  </si>
  <si>
    <t>Objednatel:</t>
  </si>
  <si>
    <t> </t>
  </si>
  <si>
    <t>Druh stavby:</t>
  </si>
  <si>
    <t>Začátek výstavby: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</si>
  <si>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</si>
  <si>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</si>
  <si>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</si>
  <si>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</si>
  <si>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</si>
  <si>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</si>
  <si>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</si>
  <si>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</si>
  <si>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</si>
  <si>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</si>
  <si>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 / Varianta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</si>
  <si>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</si>
  <si>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</si>
  <si>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</si>
  <si>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</si>
  <si>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</si>
  <si>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</si>
  <si>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</si>
  <si>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</si>
  <si>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</si>
  <si>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</si>
  <si>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</si>
  <si>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</si>
  <si>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</si>
  <si>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</si>
  <si>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</si>
  <si>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</si>
  <si>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</si>
  <si>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</si>
  <si>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</si>
  <si>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</si>
  <si>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</si>
  <si>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</si>
  <si>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</si>
  <si>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</si>
  <si>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</si>
  <si>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</si>
  <si>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</si>
  <si>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</si>
  <si>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</si>
  <si>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</si>
  <si>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</si>
  <si>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SO 01</t>
  </si>
  <si>
    <t>Šatny</t>
  </si>
  <si>
    <t>96</t>
  </si>
  <si>
    <t>Bourání konstrukcí</t>
  </si>
  <si>
    <t>1</t>
  </si>
  <si>
    <t>776511820R00</t>
  </si>
  <si>
    <t>Odstranění PVC a koberců lepených s podložkou</t>
  </si>
  <si>
    <t>m2</t>
  </si>
  <si>
    <t>RTS II / 2024</t>
  </si>
  <si>
    <t>96_</t>
  </si>
  <si>
    <t>SO 01_9_</t>
  </si>
  <si>
    <t>SO 01_</t>
  </si>
  <si>
    <t>2</t>
  </si>
  <si>
    <t>968061125R00</t>
  </si>
  <si>
    <t>Vyvěšení dřevěných a plastových dveřních křídel pl. do 2 m2</t>
  </si>
  <si>
    <t>kus</t>
  </si>
  <si>
    <t>RTS komentář:</t>
  </si>
  <si>
    <t>Položka obsahuje náklady na vyvěšení křídel, jejich uložení a zpětné zavěšení po provedených stavebních úpravách. Položka se používá i pro vyvěšení křídel určených k likvidaci</t>
  </si>
  <si>
    <t>3</t>
  </si>
  <si>
    <t>968062455R00</t>
  </si>
  <si>
    <t>Vybourání dřevěných dveřních zárubní pl. do 2 m2</t>
  </si>
  <si>
    <t xml:space="preserve">V položce není kalkulována manipulace se sutí, která se oceňuje samostatně položkami souboru 979. V položce není zakalkulováno vyvěšení dveřních křídel. Tyto práce se oceňují samostatně položkami souboru 968 06 -11 Vyvěšení dřevěných křídel. </t>
  </si>
  <si>
    <t>4</t>
  </si>
  <si>
    <t>968072455R00</t>
  </si>
  <si>
    <t>Vybourání kovových dveřních zárubní pl. do 2 m2</t>
  </si>
  <si>
    <t>V položce není kalkulována manipulace se sutí, která se oceňuje samostatně položkami souboru 979. V položce není zakalkulováno vyvěšení dveřních křídel. Tyto práce se oceňují samostatně položkami souboru 968 06-11.. nebo 07-11.. Vyvěšení křídel.</t>
  </si>
  <si>
    <t>5</t>
  </si>
  <si>
    <t>967031142R00</t>
  </si>
  <si>
    <t>Přisekání rovných ostění cihelných na MC</t>
  </si>
  <si>
    <t>6</t>
  </si>
  <si>
    <t>963016111R00</t>
  </si>
  <si>
    <t>Demontáž podhledu SDK, kovová kce., 1xoplášť.12,5 mm</t>
  </si>
  <si>
    <t>Demontáž podhledu sádrokartonového,  s jednoduchou ocelovou konstrukcí, 1x opláštěný tl. 12,5 mm, bez minerální izolace.</t>
  </si>
  <si>
    <t>7</t>
  </si>
  <si>
    <t>965081713RT1</t>
  </si>
  <si>
    <t>Bourání dlažeb keramických tl.10 mm, nad 1 m2</t>
  </si>
  <si>
    <t>Varianta:</t>
  </si>
  <si>
    <t>ručně, dlaždice keramické</t>
  </si>
  <si>
    <t>V položce není kalkulována manipulace se sutí, která se oceňuje samostatně položkami souboru 979.  V položce nejsou zakalkulovány náklady na bourání podkladního lože pod dlažbou</t>
  </si>
  <si>
    <t>8</t>
  </si>
  <si>
    <t>965048250R00</t>
  </si>
  <si>
    <t>Dočištění povrchu po vybourání dlažeb, MC do 50%</t>
  </si>
  <si>
    <t>9</t>
  </si>
  <si>
    <t>978500010RA0</t>
  </si>
  <si>
    <t>Odsekání vnitřních obkladů</t>
  </si>
  <si>
    <t>V položce není kalkulován poplatek za skládku pro vybouranou suť. Tyto náklady se oceňují individuálně podle místních podmínek. Orientační hmotnost vybouraných konstrukcí je 0,068 t/m2 konstrukce</t>
  </si>
  <si>
    <t>10</t>
  </si>
  <si>
    <t>970231150R00</t>
  </si>
  <si>
    <t>Řezání cihelného zdiva hl. řezu 150 mm</t>
  </si>
  <si>
    <t>m</t>
  </si>
  <si>
    <t>11</t>
  </si>
  <si>
    <t>962031145R00</t>
  </si>
  <si>
    <t>Bourání příček z tvárnic pórobetonových tl. 150 mm</t>
  </si>
  <si>
    <t>12</t>
  </si>
  <si>
    <t>974031144R00</t>
  </si>
  <si>
    <t>Vysekání rýh ve zdi cihelné 7 x 15 cm</t>
  </si>
  <si>
    <t>Položka platí pro zdivo na jakoukoliv maltu vápennou nebo vápenocementovou, V položce není kalkulována manipulace se sutí, která se oceňuje samostatně položkami souboru 979</t>
  </si>
  <si>
    <t>13</t>
  </si>
  <si>
    <t>728415814R00</t>
  </si>
  <si>
    <t>Demontáž mřížky větrací nebo ventilační do 0,20 m2</t>
  </si>
  <si>
    <t>14</t>
  </si>
  <si>
    <t>R001</t>
  </si>
  <si>
    <t>Demontáž zrcadel</t>
  </si>
  <si>
    <t>vlastní</t>
  </si>
  <si>
    <t>15</t>
  </si>
  <si>
    <t>725240811R001</t>
  </si>
  <si>
    <t>Demontáž sprchových kabin, včetně vaničky a výtokových armatur</t>
  </si>
  <si>
    <t>soubor</t>
  </si>
  <si>
    <t>16</t>
  </si>
  <si>
    <t>725290020RA0</t>
  </si>
  <si>
    <t>Demontáž umyvadla včetně baterie a konzol</t>
  </si>
  <si>
    <t>17</t>
  </si>
  <si>
    <t>725110814R00</t>
  </si>
  <si>
    <t>Demontáž klozetů kombinovaných</t>
  </si>
  <si>
    <t>18</t>
  </si>
  <si>
    <t>735151821R00</t>
  </si>
  <si>
    <t>Demontáž otopných těles panelových dvouřadých, délky do 1500 mm</t>
  </si>
  <si>
    <t>19</t>
  </si>
  <si>
    <t>735151822R00</t>
  </si>
  <si>
    <t>Demontáž otopných těles panelových dvouřadých, délky do 2820 mm</t>
  </si>
  <si>
    <t>20</t>
  </si>
  <si>
    <t>979082111R00</t>
  </si>
  <si>
    <t>Vnitrostaveništní doprava suti do 10 m</t>
  </si>
  <si>
    <t>t</t>
  </si>
  <si>
    <t>21</t>
  </si>
  <si>
    <t>979082121R00</t>
  </si>
  <si>
    <t>Příplatek k vnitrost. dopravě suti za dalších 5 m</t>
  </si>
  <si>
    <t>22</t>
  </si>
  <si>
    <t>979086112R00</t>
  </si>
  <si>
    <t>Nakládání nebo překládání suti a vybouraných hmot</t>
  </si>
  <si>
    <t>23</t>
  </si>
  <si>
    <t>979081111R00</t>
  </si>
  <si>
    <t>Odvoz suti a vybour. hmot na skládku do 1 km</t>
  </si>
  <si>
    <t>24</t>
  </si>
  <si>
    <t>979081121R00</t>
  </si>
  <si>
    <t>Příplatek k odvozu za každý další 1 km</t>
  </si>
  <si>
    <t>25</t>
  </si>
  <si>
    <t>979999984R00</t>
  </si>
  <si>
    <t>Poplatek za recyklaci - tašky, keramika, do 1600 cm2 (skup.170103)</t>
  </si>
  <si>
    <t>26</t>
  </si>
  <si>
    <t>979999985R00</t>
  </si>
  <si>
    <t>Poplatek za recyklaci pórobetonu (skup.170102)</t>
  </si>
  <si>
    <t>27</t>
  </si>
  <si>
    <t>979999997R00</t>
  </si>
  <si>
    <t>Poplatek za recyklaci směsi suti betonu, cihel, tašek a keram.výrobků, kusovost do 1600 cm2 (170107)</t>
  </si>
  <si>
    <t>28</t>
  </si>
  <si>
    <t>979990163R00</t>
  </si>
  <si>
    <t>Poplatek za uložení suti - plast + sklo, skupina odpadu 170904</t>
  </si>
  <si>
    <t>29</t>
  </si>
  <si>
    <t>979990110R00</t>
  </si>
  <si>
    <t>Poplatek za uložení suti - sádrokartonové desky, skupina odpadu 170802</t>
  </si>
  <si>
    <t>30</t>
  </si>
  <si>
    <t>979990182R00</t>
  </si>
  <si>
    <t>Poplatek za uložení suti - koberce, skupina odpadu 200307</t>
  </si>
  <si>
    <t>R1</t>
  </si>
  <si>
    <t>Interiér</t>
  </si>
  <si>
    <t>31</t>
  </si>
  <si>
    <t>RI1</t>
  </si>
  <si>
    <t>D+M Sedací botník 2500x500x390</t>
  </si>
  <si>
    <t>R1_</t>
  </si>
  <si>
    <t>"kompletní provedení dle specifikace PD a TZ vč. všech souvisejících prací a dodávek"</t>
  </si>
  <si>
    <t>32</t>
  </si>
  <si>
    <t>RI2</t>
  </si>
  <si>
    <t>D+M Lamelová stěna šatny 2350x1500</t>
  </si>
  <si>
    <t>33</t>
  </si>
  <si>
    <t>RI3</t>
  </si>
  <si>
    <t>D+M Lamelová stěna šatny 1350x1500</t>
  </si>
  <si>
    <t>34</t>
  </si>
  <si>
    <t>RI4</t>
  </si>
  <si>
    <t>D+M Sedací lavice pod lamelovou stěnu 1175x400x500</t>
  </si>
  <si>
    <t>35</t>
  </si>
  <si>
    <t>RI5</t>
  </si>
  <si>
    <t>D+M Lamelová stěna chodba 1350x1500</t>
  </si>
  <si>
    <t>36</t>
  </si>
  <si>
    <t>RI6</t>
  </si>
  <si>
    <t>D+M Zrcadlo v dřevodekoru</t>
  </si>
  <si>
    <t>Zrcadlo 1300x1150, včetně LED podsvícení, lemované laminovanými deskami HPL, přívod pro LED nad úrovní podhledu součást elektroinstalace</t>
  </si>
  <si>
    <t>37</t>
  </si>
  <si>
    <t>RI7</t>
  </si>
  <si>
    <t>D+M Krycí deska+boční stěny a polička pod dvojumyvadlo</t>
  </si>
  <si>
    <t>M65</t>
  </si>
  <si>
    <t>Elektroinstalace</t>
  </si>
  <si>
    <t>38</t>
  </si>
  <si>
    <t>R00</t>
  </si>
  <si>
    <t>Elektroinstalace viz.samostaný rozpočet</t>
  </si>
  <si>
    <t>M65_</t>
  </si>
  <si>
    <t>Stěny a příčky</t>
  </si>
  <si>
    <t>39</t>
  </si>
  <si>
    <t>342254611R00</t>
  </si>
  <si>
    <t>Příčky z desek pórobetonových tl. 100 mm</t>
  </si>
  <si>
    <t>34_</t>
  </si>
  <si>
    <t>SO 01_3_</t>
  </si>
  <si>
    <t>V položce jsou zakalkulovány i náklady na pomocné lešení o výšce podlahy do 1900 mm a pro zatížení do 1,5 kP</t>
  </si>
  <si>
    <t>40</t>
  </si>
  <si>
    <t>340271610R00</t>
  </si>
  <si>
    <t>Zazdívka otvorů pl.do 4 m2, pórobet.tvár.,tl.10 cm</t>
  </si>
  <si>
    <t>m3</t>
  </si>
  <si>
    <t>V položce jsou zakalkulovány náklady na pomocné pracovní lešení o výšce podlahy do 1900 mm a pro zatížení do 1,5 kPa</t>
  </si>
  <si>
    <t>41</t>
  </si>
  <si>
    <t>342012324R001</t>
  </si>
  <si>
    <t>Příčka SDK tl.150mm,ocel.kce,1x oplášť.,desky 12,5mm</t>
  </si>
  <si>
    <t xml:space="preserve">Příčka sádrokartonová, jednoduchá ocelová konstrukce, 1x opláštěná, tl. 150 mm, s minerální izolací tl. 50 mm, desky tl. 12,5 mm. </t>
  </si>
  <si>
    <t>42</t>
  </si>
  <si>
    <t>347016231R00</t>
  </si>
  <si>
    <t>Předstěna SDK, tl. 125 mm, ocel. kce CW, 2x deska 12,5 mm, bez izolace</t>
  </si>
  <si>
    <t xml:space="preserve">Předsazená stěna SDK, volně stojící, systém OK12, ocelová konstrukce z profilů CW 100 a UW 100 2x opláštěná deskami 12,5 mm. Celková tl. 125 mm. Bez minerální izolace. </t>
  </si>
  <si>
    <t>43</t>
  </si>
  <si>
    <t>998011001R00</t>
  </si>
  <si>
    <t>Přesun hmot pro budovy zděné výšky do 6 m</t>
  </si>
  <si>
    <t>Stropy a stropní konstrukce (pro pozemní stavby)</t>
  </si>
  <si>
    <t>44</t>
  </si>
  <si>
    <t>416072122R001</t>
  </si>
  <si>
    <t>D+M Podhled SDK zavěšený,ocel.dvouúrov.kříž.rošt, 1xdeska impregnovaná 12,5 mm</t>
  </si>
  <si>
    <t>41_</t>
  </si>
  <si>
    <t>SO 01_4_</t>
  </si>
  <si>
    <t>Podhledy sádrokartonové , zavěšený ocelový dvouúrovňový křížový rošt, 1x opláštěný, včetně tmelení, přebroušení</t>
  </si>
  <si>
    <t>45</t>
  </si>
  <si>
    <t>416091082R00</t>
  </si>
  <si>
    <t>Příplatek k podhledu sádrokart. za plochu do 5 m2</t>
  </si>
  <si>
    <t>Příplatek je určen k položkám podhledů sádrokartonových na dřevěnou i ocelovou konstrukci. V položce je zakalkulován rozdíl v pracnosti při provádění podhledů v malých plochách do 5 m2</t>
  </si>
  <si>
    <t>46</t>
  </si>
  <si>
    <t>61</t>
  </si>
  <si>
    <t>Úprava povrchů vnitřní</t>
  </si>
  <si>
    <t>47</t>
  </si>
  <si>
    <t>612481211RT2</t>
  </si>
  <si>
    <t>Montáž výztužné sítě(perlinky)do stěrky-vnit.stěny</t>
  </si>
  <si>
    <t>61_</t>
  </si>
  <si>
    <t>SO 01_6_</t>
  </si>
  <si>
    <t>včetně výztužné sítě a stěrkového tmelu</t>
  </si>
  <si>
    <t>Položka obsahuje natažení stěrkového tmelu, vtlačení výztužné sítě a rozetření tmelu.</t>
  </si>
  <si>
    <t>48</t>
  </si>
  <si>
    <t>612403386RT1</t>
  </si>
  <si>
    <t>Hrubá výplň rýh ve stěnách do 10x10cm maltou z SMS</t>
  </si>
  <si>
    <t>zdicí maltou</t>
  </si>
  <si>
    <t>V položce nejsou zakalkulovány náklady na omítku rýh</t>
  </si>
  <si>
    <t>49</t>
  </si>
  <si>
    <t>63</t>
  </si>
  <si>
    <t>Podlahy a podlahové konstrukce</t>
  </si>
  <si>
    <t>50</t>
  </si>
  <si>
    <t>771101116R00</t>
  </si>
  <si>
    <t>Vyrovnání podkladů samonivelační hmotou tloušťky do 30 mm</t>
  </si>
  <si>
    <t>63_</t>
  </si>
  <si>
    <t xml:space="preserve">Položka je určena pro vyrovnání podlahy před kladením dlaždic na maltu nebo na tmel. Položka obsahuje :  - zametení podkladu, - rozmíchání suché směsi s vodou, - lití na podklad, popřípadě rozetření hladkou stěrkou. Položka neobsahuje materiál. </t>
  </si>
  <si>
    <t>51</t>
  </si>
  <si>
    <t>632419115R00</t>
  </si>
  <si>
    <t>Samonivelační stěrka PCI, ruční zpracování tl. 15 mm</t>
  </si>
  <si>
    <t>52</t>
  </si>
  <si>
    <t>711</t>
  </si>
  <si>
    <t>Izolace proti vodě</t>
  </si>
  <si>
    <t>53</t>
  </si>
  <si>
    <t>711212111RT11</t>
  </si>
  <si>
    <t>Penetrace podkladu nátěrem</t>
  </si>
  <si>
    <t>711_</t>
  </si>
  <si>
    <t>SO 01_71_</t>
  </si>
  <si>
    <t>včetně materiálu</t>
  </si>
  <si>
    <t>54</t>
  </si>
  <si>
    <t>711212002RT3</t>
  </si>
  <si>
    <t>Stěrka hydroizolační, vč. dodávky HI hmoty</t>
  </si>
  <si>
    <t>tl. 2 mm</t>
  </si>
  <si>
    <t>Dvousložková hydroizolační stěrka proti vlhkosti. Aplikace pomocí stěrky v jedné vrstvě  tl. 2 mm.  Velmi pružná hydroizolační stěrka, která se používá k vodotěsnému ošetření a ochraně betonových konstrukcí vystavených nebezpečí vzniku trhlin. Do sprchový koutů, koupelen, betonových nádrží. Na opěrné zdi, sádrokartonové stěny, voděvzdorné překližky atd. Pro vnitřní a venkovní použití pod obklady a dlažb</t>
  </si>
  <si>
    <t>55</t>
  </si>
  <si>
    <t>998711101R00</t>
  </si>
  <si>
    <t>Přesun hmot pro izolace proti vodě, výšky do 6 m</t>
  </si>
  <si>
    <t>721</t>
  </si>
  <si>
    <t>Vnitřní kanalizace</t>
  </si>
  <si>
    <t>56</t>
  </si>
  <si>
    <t>721176103R00</t>
  </si>
  <si>
    <t>Potrubí HT připojovací, D 50 x 1,8 mm</t>
  </si>
  <si>
    <t>721_</t>
  </si>
  <si>
    <t>SO 01_72_</t>
  </si>
  <si>
    <t>57</t>
  </si>
  <si>
    <t>721176102R00</t>
  </si>
  <si>
    <t>Potrubí HT připojovací, D 40 x 1,8 mm</t>
  </si>
  <si>
    <t>58</t>
  </si>
  <si>
    <t>721176105R00</t>
  </si>
  <si>
    <t>Potrubí HT připojovací, D 110 x 2,7 mm</t>
  </si>
  <si>
    <t>59</t>
  </si>
  <si>
    <t>721194109R00</t>
  </si>
  <si>
    <t>Vyvedení odpadních výpustek, D 110 x 2,3 mm</t>
  </si>
  <si>
    <t>60</t>
  </si>
  <si>
    <t>721194105R00</t>
  </si>
  <si>
    <t>Vyvedení odpadních výpustek, D 50 x 1,8 mm</t>
  </si>
  <si>
    <t>721194104R00</t>
  </si>
  <si>
    <t>Vyvedení odpadních výpustek, D 40 x 1,8 mm</t>
  </si>
  <si>
    <t>62</t>
  </si>
  <si>
    <t>725249102R001</t>
  </si>
  <si>
    <t>Spojovací materiál</t>
  </si>
  <si>
    <t>Odbočky,přechodky, kolena, redukce, záslepky</t>
  </si>
  <si>
    <t>892561111R00</t>
  </si>
  <si>
    <t>Zkouška těsnosti kanalizace DN do 125, vodou</t>
  </si>
  <si>
    <t>V položce jsou zakalkulovány náklady na napuštění vodou a dodání vody pro zkoušku těsnosti</t>
  </si>
  <si>
    <t>64</t>
  </si>
  <si>
    <t>998721101R00</t>
  </si>
  <si>
    <t>Přesun hmot pro vnitřní kanalizaci, výšky do 6 m</t>
  </si>
  <si>
    <t>722</t>
  </si>
  <si>
    <t>Vnitřní vodovod</t>
  </si>
  <si>
    <t>65</t>
  </si>
  <si>
    <t>722161924R00</t>
  </si>
  <si>
    <t>Vsazení odbočky do stávajícího vodovodního měděného potrubí D 22 mm</t>
  </si>
  <si>
    <t>722_</t>
  </si>
  <si>
    <t>66</t>
  </si>
  <si>
    <t>722172311R00</t>
  </si>
  <si>
    <t>Potrubí plastové PP-R , včetně zednických výpomocí, D 20 x 2,8 mm, PN 16</t>
  </si>
  <si>
    <t>67</t>
  </si>
  <si>
    <t>722181211RT6</t>
  </si>
  <si>
    <t>Izolace návleková tl. stěny 6 mm</t>
  </si>
  <si>
    <t>vnitřní průměr 18 mm</t>
  </si>
  <si>
    <t>V položce je kalkulována dodávka izolační trubice, spon a lepicí pásky</t>
  </si>
  <si>
    <t>68</t>
  </si>
  <si>
    <t>722191112R00</t>
  </si>
  <si>
    <t>Hadice flexibilní k baterii , DN 15 mm, délka 500 mm</t>
  </si>
  <si>
    <t>69</t>
  </si>
  <si>
    <t>722280106R001</t>
  </si>
  <si>
    <t>Tlaková zkouška vodovodního potrubí do DN 32 mm</t>
  </si>
  <si>
    <t>70</t>
  </si>
  <si>
    <t>722290234R00</t>
  </si>
  <si>
    <t>Proplach a dezinfekce vodovodního potrubí DN 80 mm</t>
  </si>
  <si>
    <t>71</t>
  </si>
  <si>
    <t>722241100R001</t>
  </si>
  <si>
    <t>72</t>
  </si>
  <si>
    <t>722202212R00</t>
  </si>
  <si>
    <t>Nástěnka PP-R, D 16 mm x R 1/2"</t>
  </si>
  <si>
    <t>73</t>
  </si>
  <si>
    <t>998722101R00</t>
  </si>
  <si>
    <t>Přesun hmot pro vnitřní vodovod, výšky do 6 m</t>
  </si>
  <si>
    <t>725</t>
  </si>
  <si>
    <t>Zařizovací předměty</t>
  </si>
  <si>
    <t>74</t>
  </si>
  <si>
    <t>ZP1</t>
  </si>
  <si>
    <t>D+M Nerezový závěsný WC kartáč</t>
  </si>
  <si>
    <t>725_</t>
  </si>
  <si>
    <t>75</t>
  </si>
  <si>
    <t>ZP2</t>
  </si>
  <si>
    <t>D+M Nerezový zásobník toaletního papíru, pro roli 190x100</t>
  </si>
  <si>
    <t>76</t>
  </si>
  <si>
    <t>ZP3</t>
  </si>
  <si>
    <t>D+M Nerezový zásobník hyg.sáčků 92x150</t>
  </si>
  <si>
    <t>77</t>
  </si>
  <si>
    <t>ZP4</t>
  </si>
  <si>
    <t>D+M Nerezový závěsný odpadkový koš s poklopem 197x98x253</t>
  </si>
  <si>
    <t>78</t>
  </si>
  <si>
    <t>ZP5</t>
  </si>
  <si>
    <t>D+M Nerezový piktogram 120x120</t>
  </si>
  <si>
    <t>79</t>
  </si>
  <si>
    <t>725291123R00</t>
  </si>
  <si>
    <t>D+M Madlo rovné nerez dl. 500 mm</t>
  </si>
  <si>
    <t>80</t>
  </si>
  <si>
    <t>725249102R00</t>
  </si>
  <si>
    <t>Montáž sprchových mís a vaniček</t>
  </si>
  <si>
    <t>81</t>
  </si>
  <si>
    <t>642938127</t>
  </si>
  <si>
    <t>Vanička sprchová z litého mramoru obdélník 1200 x 800 mm, minimální cena 12000Kč</t>
  </si>
  <si>
    <t>Obdélníková sprchová vanička 1200 × 800 mm, výška 35 mm, včetně dvoukomorového sifonu</t>
  </si>
  <si>
    <t>82</t>
  </si>
  <si>
    <t>725249103R00</t>
  </si>
  <si>
    <t>Montáž sprchových koutů</t>
  </si>
  <si>
    <t>83</t>
  </si>
  <si>
    <t>55428083.A1</t>
  </si>
  <si>
    <t>Sprchová zástěna obdélníková 1200 x 800 x 1850 mm -rohový vstup</t>
  </si>
  <si>
    <t xml:space="preserve">Konstrukčními prvky jsou tenkostěnné hliníkové profily výplně vloženy v těsnících profilech z měkkých plastů Tenkostěnné profily jsou vyrobeny ze slitiny hliníku, povrchová úprava práškovým nástřikem komaxit bílé barvy.  výplň:  bezpečnostní sklo v dezénu pískované tl.6 mm.  </t>
  </si>
  <si>
    <t>84</t>
  </si>
  <si>
    <t>725845811RT11</t>
  </si>
  <si>
    <t>Baterie termostatická sprchová nástěnná</t>
  </si>
  <si>
    <t>85</t>
  </si>
  <si>
    <t>551453511</t>
  </si>
  <si>
    <t>Růžice sprchová kulatá, 5 funkcí d 108 mm 952.00</t>
  </si>
  <si>
    <t>Jet Stream Soft Soft+Jet Soft+Stream  X07P00</t>
  </si>
  <si>
    <t>86</t>
  </si>
  <si>
    <t>55145353</t>
  </si>
  <si>
    <t>Hadice sprchová 150 cm jednozámková 911.00</t>
  </si>
  <si>
    <t>X07P00</t>
  </si>
  <si>
    <t>87</t>
  </si>
  <si>
    <t>55145357</t>
  </si>
  <si>
    <t>Tyč sprchová 90 cm 973.00</t>
  </si>
  <si>
    <t>s posuvným držákem sprchy  X07P01</t>
  </si>
  <si>
    <t>88</t>
  </si>
  <si>
    <t>725219201R00</t>
  </si>
  <si>
    <t>Montáž umyvadel na konzoly</t>
  </si>
  <si>
    <t>89</t>
  </si>
  <si>
    <t>6421536123</t>
  </si>
  <si>
    <t>Dvojumyvadlo keramické s otvory pro baterii 1300 x 470x130 mm,minimální cena 12000Kč</t>
  </si>
  <si>
    <t>Závěsné hranaté dvojumyvadlo s přepadem bílé. Vodu odpuzující povrchová úprava. Upevnění na konzoly, otvory pro batere, konzoly součást dodávky</t>
  </si>
  <si>
    <t>90</t>
  </si>
  <si>
    <t>725219401R00</t>
  </si>
  <si>
    <t>Montáž umyvadel na šrouby do zdiva</t>
  </si>
  <si>
    <t>91</t>
  </si>
  <si>
    <t>6422135501</t>
  </si>
  <si>
    <t>Umývátko keramické s otvorem pro baterii 320 x 320 mm, bez přepadu, minimální cena 2500Kč</t>
  </si>
  <si>
    <t>Závěsné rohové umývátko bez přepadu bílé. Vodu odpuzující povrchová úprava. otvor pro baterii uprostřed, upevnění na šrouby</t>
  </si>
  <si>
    <t>92</t>
  </si>
  <si>
    <t>725860251R00</t>
  </si>
  <si>
    <t>Sifon umyvadlový chromovaný Raf SV1410</t>
  </si>
  <si>
    <t>93</t>
  </si>
  <si>
    <t>725829301R00</t>
  </si>
  <si>
    <t>Montáž baterie umyvadlové a dřezové stojánkové</t>
  </si>
  <si>
    <t>94</t>
  </si>
  <si>
    <t>725823111R00</t>
  </si>
  <si>
    <t>Baterie umyvadlová stojánková, ruční, bez otvírání odpadu</t>
  </si>
  <si>
    <t>95</t>
  </si>
  <si>
    <t>725823633R001</t>
  </si>
  <si>
    <t>D+M Baterie automatická senzorová umyvadlová stojánková s vysoušečem rukou, minimální cena 13000Kč</t>
  </si>
  <si>
    <t>automaticý infračervený senzor, termostatický směšovací ventil,automatický ohřev vzuchu,
příkon vysoušeče rukou 1200W, vysoušeč s hepa filtrem</t>
  </si>
  <si>
    <t>725292044R001</t>
  </si>
  <si>
    <t>D+M Dávkovač tekutého mýdla nerezový 300x100</t>
  </si>
  <si>
    <t>97</t>
  </si>
  <si>
    <t>725119306R00</t>
  </si>
  <si>
    <t>Montáž klozetu závěsného</t>
  </si>
  <si>
    <t>Položka obsahuje montáž klozetu závěsného. Dodávka klozetu a sedátka se oceňuje ve specifikaci. Univerzální montážní modul pro zavěšení klozetu se oceňuje samostatně.</t>
  </si>
  <si>
    <t>98</t>
  </si>
  <si>
    <t>725014163R001</t>
  </si>
  <si>
    <t>Klozet závěsný včetně sedátka, hl. 430 mm, minimální cena 9000Kč</t>
  </si>
  <si>
    <t>Klozet závěsný s hlubokým splachováním, v bílé barvě včetně sedátka s pomalým doběhem. Montážní modul pro zavěšení klozetu se oceňuje samostatně.</t>
  </si>
  <si>
    <t>726</t>
  </si>
  <si>
    <t>Instalační prefabrikáty</t>
  </si>
  <si>
    <t>99</t>
  </si>
  <si>
    <t>726211321R00</t>
  </si>
  <si>
    <t>Modul pro závěsné WC , h. 1120 mm</t>
  </si>
  <si>
    <t>726_</t>
  </si>
  <si>
    <t>WC modul pro závěsné WC určené k instalaci do SDK</t>
  </si>
  <si>
    <t>728</t>
  </si>
  <si>
    <t>Vzduchotechnika</t>
  </si>
  <si>
    <t>100</t>
  </si>
  <si>
    <t>Vzduchotechnika viz.samostaný rozpočet</t>
  </si>
  <si>
    <t>728_</t>
  </si>
  <si>
    <t>735</t>
  </si>
  <si>
    <t>Otopná tělesa</t>
  </si>
  <si>
    <t>101</t>
  </si>
  <si>
    <t>733164102R00</t>
  </si>
  <si>
    <t>Montáž potrubí z měděných trubek vytápění D 15 mm</t>
  </si>
  <si>
    <t>735_</t>
  </si>
  <si>
    <t>SO 01_73_</t>
  </si>
  <si>
    <t>V položce je započten 1 spoj na 3 m délky rozvodu. V pložce nejsou započteny náklady na dodávku potrubí a tvarovek. Toto se oceňuje ve specifikaci. Ztratné pro potrubí Cu se doporučuje 3 %.  Položka obsahuje i náklady na dodávku a montáž závěsů</t>
  </si>
  <si>
    <t>102</t>
  </si>
  <si>
    <t>733163102R00</t>
  </si>
  <si>
    <t>Potrubí z měděných trubek vytápění D 15 x 1,0 mm</t>
  </si>
  <si>
    <t>V položkách jsou započteny náklady na dodávku potrubí a tvarovek včetně montáže</t>
  </si>
  <si>
    <t>103</t>
  </si>
  <si>
    <t>733166002R00</t>
  </si>
  <si>
    <t>Zhotov.ohybu jednoduch.na potrubí Cu D 15,vytápění</t>
  </si>
  <si>
    <t>104</t>
  </si>
  <si>
    <t>735149006R00</t>
  </si>
  <si>
    <t>Montáž designových těles dvouřadých do délky 3000 mm</t>
  </si>
  <si>
    <t>Montážní položka pro tělesa typu Horizontal</t>
  </si>
  <si>
    <t>105</t>
  </si>
  <si>
    <t>484545282511</t>
  </si>
  <si>
    <t>Radiátor horizontální designový s liniovým uspořádáním otopných prvků 588x1800x72-typ 20</t>
  </si>
  <si>
    <t>RADIÁTOR DESIGNOVÝ S LINIOVÝM USPOŘÁDÁNÍM OTOPNÝCH PRVKŮ 1800x588x72 TYP 20 -VESTAVĚNÁ VENTILOVÁ VLOŽKA STŘEDOVÉ SPODNÍ PŘIPOJENÍ, PŘIPOJOVACÍ PŘÍMÉ ŠROUBENÍ  A TERMOSTATICKÝ VENTIL V CHROMOVÉM PROVEDENÍ, BARVA ANTRACITOVÁ</t>
  </si>
  <si>
    <t>106</t>
  </si>
  <si>
    <t>735179110R00</t>
  </si>
  <si>
    <t>Montáž otopných těles koupelnových (žebříků)</t>
  </si>
  <si>
    <t>107</t>
  </si>
  <si>
    <t>484545101041</t>
  </si>
  <si>
    <t>Radiátor vertikální designový s liniovým uspořádáním otopných prvků 1510x500x72-typ 20</t>
  </si>
  <si>
    <t>KOUPELNOVÉ LINIOVÉ DESIGNOVÉ OTOPNÉ TĚLESO 500x1510x72 TYP20 -ARMATURA PRO STŘEDOVÉ SPODNÍ PŘIPOJENÍ BEZ VESTAVĚNÉ VENTILOVÉ VLOŽKY, ARMATURA BUDE VYBAVENA TERMOSTATICKOU HLAVICÍ VŠE V CHROMOVÉM PROVEDENÍ, BARVA TĚLESA ANTRACITOVÁ-2ks</t>
  </si>
  <si>
    <t>108</t>
  </si>
  <si>
    <t>998795101R00</t>
  </si>
  <si>
    <t>Přesun hmot pro lokální vytápění, výšky do 6 m</t>
  </si>
  <si>
    <t>766</t>
  </si>
  <si>
    <t>Konstrukce truhlářské</t>
  </si>
  <si>
    <t>109</t>
  </si>
  <si>
    <t>642941210R00</t>
  </si>
  <si>
    <t>Osazení pouzdra pro posuv. dveře jednostr., do SDK</t>
  </si>
  <si>
    <t>766_</t>
  </si>
  <si>
    <t>SO 01_76_</t>
  </si>
  <si>
    <t>Kovové pouzdro pro posuvné dveře jednokřídlové zabudované do sádrokartonové příčky</t>
  </si>
  <si>
    <t>110</t>
  </si>
  <si>
    <t>5533536006</t>
  </si>
  <si>
    <t>Pouzdro stavební pro SDK 600 x 1980 - 2700 mm, tl. dokončené příčky 125, 150 mm</t>
  </si>
  <si>
    <t>pro jednokřídlé zasouvací dveře  Stavební pouzdro má zárubeň v jedné rovině s obrysem stěny.  šířka průchodu -  600 mm atypická výška průchodu - 1980 až 2700 mm maximální váha 1 dveřního křídla: 90 kg  Otvor je nutné opatřit překladem - stavební pouzdro není schopné nést zatížen</t>
  </si>
  <si>
    <t>111</t>
  </si>
  <si>
    <t>61169701R</t>
  </si>
  <si>
    <t>Dveře dřevěné posuvné do pouzdra 600 x1970 mm L/P, dýhované, plné</t>
  </si>
  <si>
    <t xml:space="preserve">Posuvné dveře, kování  </t>
  </si>
  <si>
    <t>112</t>
  </si>
  <si>
    <t>766670011R00</t>
  </si>
  <si>
    <t>Montáž obložkové zárubně a dřevěného křídla dveří</t>
  </si>
  <si>
    <t>V ceně není zakalkulována montáž vrchního kování.</t>
  </si>
  <si>
    <t>113</t>
  </si>
  <si>
    <t>61181505</t>
  </si>
  <si>
    <t>Zárubeň obložková š.60mm/tl. stěny 60 - 170 mm, dýha buk, dub, jasan</t>
  </si>
  <si>
    <t xml:space="preserve">Obložková zárubeň pro dveře  posuvné Rozměry 60, 70, 80, 90 /197 cm Tl. stěny 6-17 cm  Dýha buk, dub AM, jasan, mahagon  </t>
  </si>
  <si>
    <t>114</t>
  </si>
  <si>
    <t>61181542</t>
  </si>
  <si>
    <t>Zárubeň obložková š. 800 mm/tl. stěny 360 - 500 mm dýha buk, dub, jasan</t>
  </si>
  <si>
    <t>Obložková zárubeň pro polodrážkové dveře  Rozměry 60, 70, 80, 90 /197 cm Tl. stěny 36-50 cm  Dýha buk, dub AM, jasan, mahago</t>
  </si>
  <si>
    <t>115</t>
  </si>
  <si>
    <t>611815493</t>
  </si>
  <si>
    <t>Zárubeň obložková š. 800 mm/tl. stěny 510 - 750 mm dýha buk, dub, jasan</t>
  </si>
  <si>
    <t>Obložková zárubeň pro polodrážkové dveře  Rozměry 60, 70, 80, 90 /197 cm Tl. stěny 51-75 cm  Dýha buk, dub AM, jasan, mahago</t>
  </si>
  <si>
    <t>116</t>
  </si>
  <si>
    <t>766662112R00</t>
  </si>
  <si>
    <t>Montáž dveří do rám.zárubně 1kříd. š.do 80 cm</t>
  </si>
  <si>
    <t>117</t>
  </si>
  <si>
    <t>61161803</t>
  </si>
  <si>
    <t>Dveře vnitřní hladké plné  1-křídlé 800 x 1970 mm dýha standard, včetně kování</t>
  </si>
  <si>
    <t>dýha dub, buk, jasan, mahagon lišty 2, 3, 4, 5</t>
  </si>
  <si>
    <t>118</t>
  </si>
  <si>
    <t>61161801</t>
  </si>
  <si>
    <t>Dveře vnitřní hladké plné 1-křídlé 600 x 1970 mm dýha standard,včetně kování</t>
  </si>
  <si>
    <t>model 10 - dýha dub, buk, jasan, mahagon lišty 2, 3, 4, 5</t>
  </si>
  <si>
    <t>119</t>
  </si>
  <si>
    <t>766666112R00</t>
  </si>
  <si>
    <t>Montáž dveří posuvných, osazení závěsu, 1kř.</t>
  </si>
  <si>
    <t>Bez osazení madla a zámku</t>
  </si>
  <si>
    <t>120</t>
  </si>
  <si>
    <t>611645201</t>
  </si>
  <si>
    <t>Dveře vnitřní 2/3sklo 1-křídlé 1150 x 1970 mm,včetně kování</t>
  </si>
  <si>
    <t>Dveře posuvné</t>
  </si>
  <si>
    <t>121</t>
  </si>
  <si>
    <t>766695213R00</t>
  </si>
  <si>
    <t>Montáž prahů dveří jednokřídlových š. nad 10 cm</t>
  </si>
  <si>
    <t>122</t>
  </si>
  <si>
    <t>61187356</t>
  </si>
  <si>
    <t>Prah bukový dl. 600 mm, š. 100 mm, tl. 20 mm</t>
  </si>
  <si>
    <t>RTS I / 2024</t>
  </si>
  <si>
    <t>123</t>
  </si>
  <si>
    <t>61187401</t>
  </si>
  <si>
    <t>Prah bukový dl. 800 mm, š. 150 mm, tl. 20 mm</t>
  </si>
  <si>
    <t>124</t>
  </si>
  <si>
    <t>998766101R00</t>
  </si>
  <si>
    <t>Přesun hmot pro truhlářské konstr., výšky do 6 m</t>
  </si>
  <si>
    <t>771</t>
  </si>
  <si>
    <t>Podlahy z dlaždic</t>
  </si>
  <si>
    <t>125</t>
  </si>
  <si>
    <t>771212118R00</t>
  </si>
  <si>
    <t>Kladení dlažby keramické do TM, vel.nad 600x600 mm</t>
  </si>
  <si>
    <t>771_</t>
  </si>
  <si>
    <t>SO 01_77_</t>
  </si>
  <si>
    <t>Položka je určena pro kladení dlažby do tmele, rovnoběžně se stěnou, bez skládání složitých vzorů a tvarů.. Položka obsahuje :  - zametení podkladu, - rozměření plochy,  - rozbalení balíků, třídění nebo rozpojení dlaždic dodávaných v blocích, - příprava a nanesení tmele na plochu, - řezání dlaždic, - kladení dlaždic, - spárování, čištění dlažby, odstranění odpadu. Položka neobsahuje žádný materiál. Skládání složitých vzorů a tvarů se oceňuje individuálně.</t>
  </si>
  <si>
    <t>126</t>
  </si>
  <si>
    <t>59764201111</t>
  </si>
  <si>
    <t>Dlažba keramická velkoformátová 45x90cm -tl&lt;10, rektifikovaná, protiskluzná R10, minimální cena 1500Kč/m2</t>
  </si>
  <si>
    <t>127</t>
  </si>
  <si>
    <t>771578011R00</t>
  </si>
  <si>
    <t>Spára podlaha - stěna, silikonem</t>
  </si>
  <si>
    <t>128</t>
  </si>
  <si>
    <t>998771101R00</t>
  </si>
  <si>
    <t>Přesun hmot pro podlahy z dlaždic, výšky do 6 m</t>
  </si>
  <si>
    <t>776</t>
  </si>
  <si>
    <t>Podlahy povlakové</t>
  </si>
  <si>
    <t>129</t>
  </si>
  <si>
    <t>776570020RAB</t>
  </si>
  <si>
    <t>Podlaha povlaková textilní lepená, soklík</t>
  </si>
  <si>
    <t>776_</t>
  </si>
  <si>
    <t>koberec zátěžový, vysoko,případně extrémně zátěžový</t>
  </si>
  <si>
    <t>781</t>
  </si>
  <si>
    <t>Obklady (keramické)</t>
  </si>
  <si>
    <t>130</t>
  </si>
  <si>
    <t>781475124R001</t>
  </si>
  <si>
    <t>Obklad vnitřní stěn keramický, do tmele, vel. nad 60 x 60 cm</t>
  </si>
  <si>
    <t>781_</t>
  </si>
  <si>
    <t>SO 01_78_</t>
  </si>
  <si>
    <t>spára do 3mm</t>
  </si>
  <si>
    <t>131</t>
  </si>
  <si>
    <t>597610021</t>
  </si>
  <si>
    <t>Obklad keramický velkoformátový 45x90cm -tl&lt;10, rektifikovaná,minimální cena 1500Kč/m2</t>
  </si>
  <si>
    <t>132</t>
  </si>
  <si>
    <t>781419711R00</t>
  </si>
  <si>
    <t>Příplatek k obkladu stěn za plochu do 10 m2 jedntl</t>
  </si>
  <si>
    <t>133</t>
  </si>
  <si>
    <t>781491001RT1</t>
  </si>
  <si>
    <t>Montáž lišt k obkladům</t>
  </si>
  <si>
    <t>rohových, koutových i dilatačních</t>
  </si>
  <si>
    <t>134</t>
  </si>
  <si>
    <t>781497132RS4</t>
  </si>
  <si>
    <t>Lišta nerezová rohová k obkladům</t>
  </si>
  <si>
    <t>profil IL, pro tloušťku obkladu 10 mm</t>
  </si>
  <si>
    <t>135</t>
  </si>
  <si>
    <t>998781101R00</t>
  </si>
  <si>
    <t>Přesun hmot pro obklady keramické, výšky do 6 m</t>
  </si>
  <si>
    <t>783</t>
  </si>
  <si>
    <t>Nátěry</t>
  </si>
  <si>
    <t>136</t>
  </si>
  <si>
    <t>783201811R00</t>
  </si>
  <si>
    <t>Odstranění nátěrů z kovových konstrukcí oškrábáním</t>
  </si>
  <si>
    <t>783_</t>
  </si>
  <si>
    <t>137</t>
  </si>
  <si>
    <t>783225100R00</t>
  </si>
  <si>
    <t>Nátěr syntetický kovových konstrukcí 2x + 1x email</t>
  </si>
  <si>
    <t>138</t>
  </si>
  <si>
    <t>784</t>
  </si>
  <si>
    <t>Malby</t>
  </si>
  <si>
    <t>139</t>
  </si>
  <si>
    <t>784450075RA0</t>
  </si>
  <si>
    <t>Malba disperzní, penetrace 1x, malba bílá 2x</t>
  </si>
  <si>
    <t>784_</t>
  </si>
  <si>
    <t>140</t>
  </si>
  <si>
    <t>784011222RT2</t>
  </si>
  <si>
    <t>Zakrytí podlah, včetně odstranění</t>
  </si>
  <si>
    <t>včetně papírové lepenky</t>
  </si>
  <si>
    <t>141</t>
  </si>
  <si>
    <t>Lešení a stavební výtahy</t>
  </si>
  <si>
    <t>142</t>
  </si>
  <si>
    <t>941955001R00</t>
  </si>
  <si>
    <t>Lešení lehké pomocné, výška podlahy do 1,2 m</t>
  </si>
  <si>
    <t>94_</t>
  </si>
  <si>
    <t>Celkem:</t>
  </si>
  <si>
    <t>Poznámka:</t>
  </si>
  <si>
    <t>Jednotková cena (Kč)</t>
  </si>
  <si>
    <t>Náklady dodávka (Kč)</t>
  </si>
  <si>
    <t>Náklady montáž (Kč)</t>
  </si>
  <si>
    <t>Náklady celkem (Kč)</t>
  </si>
  <si>
    <t>Celková/MJ</t>
  </si>
  <si>
    <t>Celková hmotnost(t)</t>
  </si>
  <si>
    <t>(9,13+9,16+17,19)*1,1   m.239,241,246 -Demontáž zátěžového koberce</t>
  </si>
  <si>
    <t>P</t>
  </si>
  <si>
    <t>9   Vyvěšení dveřních křídel</t>
  </si>
  <si>
    <t>((0,3*2+0,25)*2+(0,3*2+0,28)*0,9)*3   Vybourání obložkových zárubní</t>
  </si>
  <si>
    <t>(0,6*2)*2   Vybourání ocelových zárubní</t>
  </si>
  <si>
    <t>0,15*4,6*2   Dočištění po odstranění kovových zárubní WC</t>
  </si>
  <si>
    <t>1,775*2,55*2+0,9*1,55*2   m.240,242, vč.WC</t>
  </si>
  <si>
    <t>1,8*1,2   Chodba 246</t>
  </si>
  <si>
    <t>1,775*2,55*2+0,9*1,55*2   Keramická dlažba m.240,242,vč.WC</t>
  </si>
  <si>
    <t>1,775*2,55*2+0,9*1,55*2   Dočištění povrchu</t>
  </si>
  <si>
    <t>((2,55*2,6*2+1,775*2,6*2)-0,6*2*2)*2   Bourání obkladů m.240,242</t>
  </si>
  <si>
    <t>((0,9*2,6*2+1,55*2,6)-0,6*2)*2   WC-obě šatny</t>
  </si>
  <si>
    <t>3,8*4   Odřezání příček v toaletách</t>
  </si>
  <si>
    <t>1,55*3,78*2   Bourání příček</t>
  </si>
  <si>
    <t>(1+2+2+1)*2   Voda</t>
  </si>
  <si>
    <t>(2,5+1,5)*2   Kanalizace</t>
  </si>
  <si>
    <t>3   m.239</t>
  </si>
  <si>
    <t>3   m.241</t>
  </si>
  <si>
    <t>3   m.240</t>
  </si>
  <si>
    <t>3   m.242</t>
  </si>
  <si>
    <t>1   m.239</t>
  </si>
  <si>
    <t>1   m.241</t>
  </si>
  <si>
    <t>1   m.240</t>
  </si>
  <si>
    <t>1   m.242</t>
  </si>
  <si>
    <t>2   Demontáž sprch m.240,242</t>
  </si>
  <si>
    <t>4   Demontáž umyvadel m.240,242</t>
  </si>
  <si>
    <t>2   Demontáž WC m.240,242</t>
  </si>
  <si>
    <t>2   m.240,242-Radiátory koupelny</t>
  </si>
  <si>
    <t>2   m.239,241-demontáž radiátorů</t>
  </si>
  <si>
    <t>8,07018*4   Uvažováno 20m</t>
  </si>
  <si>
    <t>8,07018*14   Skládka do 15km</t>
  </si>
  <si>
    <t>2   Sedací botník -B1</t>
  </si>
  <si>
    <t>M</t>
  </si>
  <si>
    <t>2   Lamelová stěna šatny-V1</t>
  </si>
  <si>
    <t>2   Lamelová stěna šatny-V2</t>
  </si>
  <si>
    <t>4+2   Sedací lavice pod lamel.stěnu-VL1+VL2</t>
  </si>
  <si>
    <t>1   Lamel.stěna-OS1</t>
  </si>
  <si>
    <t>2   Zrcadlo v dřevodekoru -Z1</t>
  </si>
  <si>
    <t>2   Skříňka s policí pod dvojumyvadlo-Z1</t>
  </si>
  <si>
    <t>(1,2*2+0,8*2)*0,15*2   Podezdívka sprchového koutu</t>
  </si>
  <si>
    <t>(0,7*2,05*0,1)*2   Zazdívka dveří m.242,240</t>
  </si>
  <si>
    <t>1,6*1,8*2*1,15   SDK příčka kastlík nad dveřním otvorem</t>
  </si>
  <si>
    <t>0,9*1,2*2+0,25*0,9*2   Opláštění WC modulů</t>
  </si>
  <si>
    <t>(2,55*1,775)*2*1,15   Podhled koupelny m240.242</t>
  </si>
  <si>
    <t>1,55*0,9*2*1,15   Pohled WC-2ks</t>
  </si>
  <si>
    <t>1,8*1,2*1,15   Chodba</t>
  </si>
  <si>
    <t>5   Oprava podhledu po úpravě svítidel</t>
  </si>
  <si>
    <t>5,64*2   m,.240,242-WC</t>
  </si>
  <si>
    <t>(2,55*2+1,775*2)*2,6*2-0,7*2,05*2   Plocha omítek m.240.242</t>
  </si>
  <si>
    <t>(0,9*2+1,35*2)*2,6*2-0,7*2,05*2   WC -2ks</t>
  </si>
  <si>
    <t>3,45*2,6*2   m.239,241 -stěna mezi 240,242 a šatnou</t>
  </si>
  <si>
    <t>(1+2+2+1)*2   Zához drážek instalací voda</t>
  </si>
  <si>
    <t>(2,5+1,5)*2   kanalizace</t>
  </si>
  <si>
    <t>2,55*1,775*2   m.240,242</t>
  </si>
  <si>
    <t>0,9*1,35*2   WC</t>
  </si>
  <si>
    <t>2,55*1,775*2   Vyrovnávací stěrka pod dlažbu m240,242</t>
  </si>
  <si>
    <t>2,55*1,775*2   Místnosti m.240,242</t>
  </si>
  <si>
    <t>0,9*1,35   WC</t>
  </si>
  <si>
    <t>(1,3+0,9)*2,6*2   Vytažení na stěny sprchy</t>
  </si>
  <si>
    <t>2*1,5</t>
  </si>
  <si>
    <t>2   WC</t>
  </si>
  <si>
    <t>2   240,242</t>
  </si>
  <si>
    <t>4   240,242+WC</t>
  </si>
  <si>
    <t>1   Spojovací materiál</t>
  </si>
  <si>
    <t>4   Odbočky pro umyvadlo U2</t>
  </si>
  <si>
    <t>0,3*12   Úprava vodovu v 240,242</t>
  </si>
  <si>
    <t>(0,5*2+0,9*2+2,2*2)*2   Úprava vodovodu WC</t>
  </si>
  <si>
    <t>18   Izolace potrubí</t>
  </si>
  <si>
    <t>7*2   Propojovací hadice WC1,U2,U1</t>
  </si>
  <si>
    <t>18   Těsnost potrubí</t>
  </si>
  <si>
    <t>2   Nerez závěsný WC kartáč WC1</t>
  </si>
  <si>
    <t>2   Nerez zásobník papíru WC -WC1</t>
  </si>
  <si>
    <t>2   Nerez zásobník sáčků -WC1</t>
  </si>
  <si>
    <t>2   Nerez odpadkový koš -WC1</t>
  </si>
  <si>
    <t>2   Nerez piktogram -PIK1</t>
  </si>
  <si>
    <t>2   Svislé nerez madlo sprcha</t>
  </si>
  <si>
    <t>2   Montáž vaničky na podezdívku SP1</t>
  </si>
  <si>
    <t>2   sprchová vanička-SP1</t>
  </si>
  <si>
    <t>2   Sprcha SP1</t>
  </si>
  <si>
    <t>2   Sprchová zástěna SP1</t>
  </si>
  <si>
    <t>2   Baterie sprchová nástěnná Sp1</t>
  </si>
  <si>
    <t>2   Umyvadlo U1</t>
  </si>
  <si>
    <t>2   umyvadlo U1</t>
  </si>
  <si>
    <t>2   Umývátka U2</t>
  </si>
  <si>
    <t>2   Umývátko U2</t>
  </si>
  <si>
    <t>4   Umyvadlo U1+Umývátko U2</t>
  </si>
  <si>
    <t>6   Umyvadlo U1+Umývátko U2</t>
  </si>
  <si>
    <t>4   Baterie senzorová U1</t>
  </si>
  <si>
    <t>2   Dávkovač mýdla U1</t>
  </si>
  <si>
    <t>2   Závěsný klozet</t>
  </si>
  <si>
    <t>2   Závěsné WC</t>
  </si>
  <si>
    <t>2   Modul pro WC</t>
  </si>
  <si>
    <t>1   Vzduchotechnika</t>
  </si>
  <si>
    <t>(1*2*4)*1,2   Úprava potrubí pro R1 a R2</t>
  </si>
  <si>
    <t>9,6   Potrubí pro radiátory R1 a R2</t>
  </si>
  <si>
    <t>16   Ohyby na potrubí R1,R2</t>
  </si>
  <si>
    <t>2   Radiátor R1</t>
  </si>
  <si>
    <t>2   Radiátor R2</t>
  </si>
  <si>
    <t>2   Radiátor koupelnový R2</t>
  </si>
  <si>
    <t>2   Dveře PS1</t>
  </si>
  <si>
    <t>2   PS1</t>
  </si>
  <si>
    <t>3+2   chodba P3,L3,P4; PS1</t>
  </si>
  <si>
    <t>2   Dveře L3,P3</t>
  </si>
  <si>
    <t>1   Dveře P4</t>
  </si>
  <si>
    <t>4   Osazení dveří do stáv.oc.zárubní P1,P2,L1,L2</t>
  </si>
  <si>
    <t>5   Dveře L2,P2,L3,P3,P4</t>
  </si>
  <si>
    <t>2   Dveře L1,P1</t>
  </si>
  <si>
    <t>1   Dveře PS2</t>
  </si>
  <si>
    <t>5   Dveře L1,L2,P1,P2,P4</t>
  </si>
  <si>
    <t>2   P1,L1</t>
  </si>
  <si>
    <t>3   L2,P2,P4</t>
  </si>
  <si>
    <t>(2,55*1,775*2)*1,15   m.240,242+15% prořez</t>
  </si>
  <si>
    <t>(0,9*1,35*2)*1,15   WC+15% prořez</t>
  </si>
  <si>
    <t>28   m.240,242-včetně WC</t>
  </si>
  <si>
    <t>(9,13+9,16+17,19)*1,1   Koberec nový zátěžový m.239,241,246</t>
  </si>
  <si>
    <t>(2,55*2*2,6+1,775*2*2,6-0,7*2,05)*2   m.240,242</t>
  </si>
  <si>
    <t>(0,9*2,6*2+1,35*2,6*2-0,7*2,05)*2   WC</t>
  </si>
  <si>
    <t>(2,55*2*2,6+1,775*2*2,6-0,7*2,05)*2*1,15   m.240,242+15%prořez</t>
  </si>
  <si>
    <t>(0,9*2,6*2+1,35*2,6*2-0,7*2,05)*2*1,15   WC+15%prořez</t>
  </si>
  <si>
    <t>(10*2,6+0,9)*2   Lišty koutové</t>
  </si>
  <si>
    <t>(10*2,6+0,9)*2   Nerezové lišty m242,240+WC</t>
  </si>
  <si>
    <t>0,6*0,2*2+0,8*0,2*2+0,2*2*8   Odstranění nátěrů z kov zárubní P1,P2,L1,L2</t>
  </si>
  <si>
    <t>0,6*0,2*2+0,8*0,2*2+0,2*2*8   Dveře P1,P2,L1,L2</t>
  </si>
  <si>
    <t>(3,5*2,66+3,5*3,3+3,5*2,6+1,3*3,3*2+1,4*2,6-0,9*2,05-0,7*2,05-2,7*0,8)*2*1,10   m239,241</t>
  </si>
  <si>
    <t>18+(3,3-2*0,9+2*0,9+2,1+2*1,8-2*0,7+2*7,05+1,715*2-3*0,9*2,05-1,2*2,08)*2,6   chodba 246</t>
  </si>
  <si>
    <t>2,55*1,75*2   stropy m.2402,242</t>
  </si>
  <si>
    <t>0,9*1,35*2   WC-stropy</t>
  </si>
  <si>
    <t>50*2   Zakrytí chodby k východu</t>
  </si>
  <si>
    <t>Stavební rozpočet - rekapitulace</t>
  </si>
  <si>
    <t>Zkrácený popis</t>
  </si>
  <si>
    <t>Náklady (Kč) - dodávka</t>
  </si>
  <si>
    <t>Náklady (Kč) - Montáž</t>
  </si>
  <si>
    <t>Náklady (Kč) - celkem</t>
  </si>
  <si>
    <t>Celková hmotnost (t)</t>
  </si>
  <si>
    <t>F</t>
  </si>
  <si>
    <t>T</t>
  </si>
  <si>
    <t>Výkaz výměr</t>
  </si>
  <si>
    <t>Potřebné množství</t>
  </si>
  <si>
    <t>Krycí list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</si>
  <si>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</si>
  <si>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</si>
  <si>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</si>
  <si>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</si>
  <si>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</si>
  <si>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</si>
  <si>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</si>
  <si>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</si>
  <si>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</si>
  <si>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</si>
  <si>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</si>
  <si>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</si>
  <si>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</si>
  <si>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</si>
  <si>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</si>
  <si>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</si>
  <si>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</si>
  <si>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</si>
  <si>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</si>
  <si>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</si>
  <si>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</si>
  <si>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</si>
  <si>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</si>
  <si>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</si>
  <si>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</si>
  <si>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</si>
  <si>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</si>
  <si>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</si>
  <si>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</si>
  <si>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</si>
  <si>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</si>
  <si>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</si>
  <si>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</si>
  <si>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</si>
  <si>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</si>
  <si>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</si>
  <si>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</si>
  <si>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</si>
  <si>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</si>
  <si>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</si>
  <si>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</si>
  <si>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</si>
  <si>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</si>
  <si>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</si>
  <si>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</si>
  <si>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</si>
  <si>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</si>
  <si>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</si>
  <si>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</si>
  <si>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</si>
  <si>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</si>
  <si>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</si>
  <si>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</si>
  <si>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</si>
  <si>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</si>
  <si>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Krycí list rozpočtu (SO 01 - Šatny)</t>
  </si>
  <si>
    <t>Vedlejší a ostatní rozpočtové náklady (SO 01 - Šatny)</t>
  </si>
  <si>
    <t>Mimostaveništní doprava</t>
  </si>
  <si>
    <t>Krycí list rozpočtu (SO 02 - Sociální zařízení)</t>
  </si>
  <si>
    <t>Vedlejší a ostatní rozpočtové náklady (SO 02 - Sociální zařízení)</t>
  </si>
  <si>
    <t>Zárubeň obložková š.600 mm/tl. stěny 60 - 170 mm, dýha buk, dub, jasan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</si>
</sst>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00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000000"/>
        <bgColor rgb="FF000000"/>
      </patternFill>
    </fill>
    <fill>
      <patternFill patternType="solid">
        <fgColor theme="3" tint="0.79998168889431442"/>
        <bgColor indexed="64"/>
      </patternFill>
    </fill>
  </fills>
  <borders count="9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00">
    <xf numFmtId="0" fontId="0" fillId="0" borderId="0" xfId="0"/>
    <xf numFmtId="4" fontId="2" fillId="2" borderId="0" xfId="0" applyNumberFormat="1" applyFont="1" applyFill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2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3" fillId="2" borderId="36" xfId="0" applyFont="1" applyFill="1" applyBorder="1" applyAlignment="1">
      <alignment horizontal="left" vertical="center"/>
    </xf>
    <xf numFmtId="0" fontId="2" fillId="2" borderId="37" xfId="0" applyFont="1" applyFill="1" applyBorder="1" applyAlignment="1">
      <alignment horizontal="left" vertical="center"/>
    </xf>
    <xf numFmtId="0" fontId="2" fillId="2" borderId="37" xfId="0" applyFont="1" applyFill="1" applyBorder="1" applyAlignment="1">
      <alignment horizontal="left" vertical="center" wrapText="1"/>
    </xf>
    <xf numFmtId="0" fontId="3" fillId="2" borderId="37" xfId="0" applyFont="1" applyFill="1" applyBorder="1" applyAlignment="1">
      <alignment horizontal="left" vertical="center"/>
    </xf>
    <xf numFmtId="4" fontId="2" fillId="2" borderId="37" xfId="0" applyNumberFormat="1" applyFont="1" applyFill="1" applyBorder="1" applyAlignment="1">
      <alignment horizontal="right" vertical="center"/>
    </xf>
    <xf numFmtId="0" fontId="2" fillId="2" borderId="37" xfId="0" applyFont="1" applyFill="1" applyBorder="1" applyAlignment="1">
      <alignment horizontal="right" vertical="center"/>
    </xf>
    <xf numFmtId="0" fontId="2" fillId="2" borderId="38" xfId="0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2" fillId="2" borderId="6" xfId="0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1" fontId="3" fillId="0" borderId="0" xfId="0" applyNumberFormat="1" applyFont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0" fillId="0" borderId="5" xfId="0" applyBorder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3" fillId="0" borderId="39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 wrapText="1"/>
    </xf>
    <xf numFmtId="4" fontId="3" fillId="0" borderId="40" xfId="0" applyNumberFormat="1" applyFont="1" applyBorder="1" applyAlignment="1">
      <alignment horizontal="right" vertical="center"/>
    </xf>
    <xf numFmtId="1" fontId="3" fillId="0" borderId="40" xfId="0" applyNumberFormat="1" applyFont="1" applyBorder="1" applyAlignment="1">
      <alignment horizontal="right" vertical="center"/>
    </xf>
    <xf numFmtId="0" fontId="3" fillId="0" borderId="41" xfId="0" applyFont="1" applyBorder="1" applyAlignment="1">
      <alignment horizontal="right" vertical="center"/>
    </xf>
    <xf numFmtId="0" fontId="2" fillId="0" borderId="42" xfId="0" applyFont="1" applyBorder="1" applyAlignment="1">
      <alignment horizontal="left" vertical="center"/>
    </xf>
    <xf numFmtId="4" fontId="2" fillId="0" borderId="42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43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2" fillId="2" borderId="36" xfId="0" applyFont="1" applyFill="1" applyBorder="1" applyAlignment="1">
      <alignment horizontal="left" vertical="center"/>
    </xf>
    <xf numFmtId="4" fontId="2" fillId="2" borderId="38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left" vertical="center"/>
    </xf>
    <xf numFmtId="4" fontId="2" fillId="2" borderId="6" xfId="0" applyNumberFormat="1" applyFont="1" applyFill="1" applyBorder="1" applyAlignment="1">
      <alignment horizontal="right" vertical="center"/>
    </xf>
    <xf numFmtId="1" fontId="3" fillId="0" borderId="5" xfId="0" applyNumberFormat="1" applyFont="1" applyBorder="1" applyAlignment="1">
      <alignment horizontal="left" vertical="center"/>
    </xf>
    <xf numFmtId="4" fontId="3" fillId="0" borderId="6" xfId="0" applyNumberFormat="1" applyFont="1" applyBorder="1" applyAlignment="1">
      <alignment horizontal="right" vertical="center"/>
    </xf>
    <xf numFmtId="4" fontId="3" fillId="0" borderId="0" xfId="0" applyNumberFormat="1" applyFont="1" applyAlignment="1">
      <alignment horizontal="left" vertical="center"/>
    </xf>
    <xf numFmtId="0" fontId="0" fillId="0" borderId="6" xfId="0" applyBorder="1"/>
    <xf numFmtId="1" fontId="3" fillId="0" borderId="39" xfId="0" applyNumberFormat="1" applyFont="1" applyBorder="1" applyAlignment="1">
      <alignment horizontal="left" vertical="center"/>
    </xf>
    <xf numFmtId="4" fontId="3" fillId="0" borderId="41" xfId="0" applyNumberFormat="1" applyFont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0" fontId="2" fillId="0" borderId="44" xfId="0" applyFont="1" applyBorder="1" applyAlignment="1">
      <alignment horizontal="left" vertical="center"/>
    </xf>
    <xf numFmtId="0" fontId="2" fillId="0" borderId="45" xfId="0" applyFont="1" applyBorder="1" applyAlignment="1">
      <alignment horizontal="left" vertical="center"/>
    </xf>
    <xf numFmtId="0" fontId="2" fillId="0" borderId="46" xfId="0" applyFont="1" applyBorder="1" applyAlignment="1">
      <alignment horizontal="left" vertical="center"/>
    </xf>
    <xf numFmtId="0" fontId="2" fillId="0" borderId="46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3" fillId="0" borderId="36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4" fontId="3" fillId="0" borderId="37" xfId="0" applyNumberFormat="1" applyFont="1" applyBorder="1" applyAlignment="1">
      <alignment horizontal="right" vertical="center"/>
    </xf>
    <xf numFmtId="4" fontId="3" fillId="0" borderId="38" xfId="0" applyNumberFormat="1" applyFont="1" applyBorder="1" applyAlignment="1">
      <alignment horizontal="right" vertical="center"/>
    </xf>
    <xf numFmtId="0" fontId="3" fillId="0" borderId="48" xfId="0" applyFont="1" applyBorder="1" applyAlignment="1">
      <alignment horizontal="right" vertical="center"/>
    </xf>
    <xf numFmtId="0" fontId="2" fillId="0" borderId="49" xfId="0" applyFont="1" applyBorder="1" applyAlignment="1">
      <alignment horizontal="left" vertical="center"/>
    </xf>
    <xf numFmtId="0" fontId="2" fillId="0" borderId="50" xfId="0" applyFont="1" applyBorder="1" applyAlignment="1">
      <alignment horizontal="left" vertical="center"/>
    </xf>
    <xf numFmtId="0" fontId="2" fillId="0" borderId="53" xfId="0" applyFont="1" applyBorder="1" applyAlignment="1">
      <alignment horizontal="right" vertical="center"/>
    </xf>
    <xf numFmtId="0" fontId="2" fillId="0" borderId="54" xfId="0" applyFont="1" applyBorder="1" applyAlignment="1">
      <alignment horizontal="left" vertical="center"/>
    </xf>
    <xf numFmtId="0" fontId="7" fillId="2" borderId="56" xfId="0" applyFont="1" applyFill="1" applyBorder="1" applyAlignment="1">
      <alignment horizontal="center" vertical="center"/>
    </xf>
    <xf numFmtId="0" fontId="7" fillId="2" borderId="59" xfId="0" applyFont="1" applyFill="1" applyBorder="1" applyAlignment="1">
      <alignment horizontal="center" vertical="center"/>
    </xf>
    <xf numFmtId="0" fontId="9" fillId="0" borderId="60" xfId="0" applyFont="1" applyBorder="1" applyAlignment="1">
      <alignment horizontal="left" vertical="center"/>
    </xf>
    <xf numFmtId="0" fontId="10" fillId="0" borderId="61" xfId="0" applyFont="1" applyBorder="1" applyAlignment="1">
      <alignment horizontal="left" vertical="center"/>
    </xf>
    <xf numFmtId="4" fontId="10" fillId="0" borderId="61" xfId="0" applyNumberFormat="1" applyFont="1" applyBorder="1" applyAlignment="1">
      <alignment horizontal="right" vertical="center"/>
    </xf>
    <xf numFmtId="0" fontId="9" fillId="0" borderId="64" xfId="0" applyFont="1" applyBorder="1" applyAlignment="1">
      <alignment horizontal="left" vertical="center"/>
    </xf>
    <xf numFmtId="0" fontId="10" fillId="0" borderId="61" xfId="0" applyFont="1" applyBorder="1" applyAlignment="1">
      <alignment horizontal="right" vertical="center"/>
    </xf>
    <xf numFmtId="4" fontId="10" fillId="0" borderId="68" xfId="0" applyNumberFormat="1" applyFont="1" applyBorder="1" applyAlignment="1">
      <alignment horizontal="right" vertical="center"/>
    </xf>
    <xf numFmtId="0" fontId="10" fillId="0" borderId="68" xfId="0" applyFont="1" applyBorder="1" applyAlignment="1">
      <alignment horizontal="right" vertical="center"/>
    </xf>
    <xf numFmtId="4" fontId="10" fillId="0" borderId="59" xfId="0" applyNumberFormat="1" applyFont="1" applyBorder="1" applyAlignment="1">
      <alignment horizontal="right" vertical="center"/>
    </xf>
    <xf numFmtId="4" fontId="9" fillId="2" borderId="58" xfId="0" applyNumberFormat="1" applyFont="1" applyFill="1" applyBorder="1" applyAlignment="1">
      <alignment horizontal="right" vertical="center"/>
    </xf>
    <xf numFmtId="4" fontId="9" fillId="2" borderId="63" xfId="0" applyNumberFormat="1" applyFont="1" applyFill="1" applyBorder="1" applyAlignment="1">
      <alignment horizontal="right" vertical="center"/>
    </xf>
    <xf numFmtId="0" fontId="5" fillId="0" borderId="37" xfId="0" applyFont="1" applyBorder="1" applyAlignment="1">
      <alignment horizontal="left" vertical="center"/>
    </xf>
    <xf numFmtId="0" fontId="2" fillId="0" borderId="19" xfId="0" applyFont="1" applyBorder="1" applyAlignment="1">
      <alignment horizontal="right" vertical="center"/>
    </xf>
    <xf numFmtId="4" fontId="3" fillId="0" borderId="61" xfId="0" applyNumberFormat="1" applyFont="1" applyBorder="1" applyAlignment="1">
      <alignment horizontal="right" vertical="center"/>
    </xf>
    <xf numFmtId="0" fontId="3" fillId="0" borderId="61" xfId="0" applyFont="1" applyBorder="1" applyAlignment="1">
      <alignment horizontal="left" vertical="center"/>
    </xf>
    <xf numFmtId="4" fontId="3" fillId="0" borderId="87" xfId="0" applyNumberFormat="1" applyFont="1" applyBorder="1" applyAlignment="1">
      <alignment horizontal="right" vertical="center"/>
    </xf>
    <xf numFmtId="0" fontId="3" fillId="0" borderId="87" xfId="0" applyFont="1" applyBorder="1" applyAlignment="1">
      <alignment horizontal="left" vertical="center"/>
    </xf>
    <xf numFmtId="0" fontId="2" fillId="0" borderId="91" xfId="0" applyFont="1" applyBorder="1" applyAlignment="1">
      <alignment horizontal="left" vertical="center"/>
    </xf>
    <xf numFmtId="0" fontId="2" fillId="0" borderId="91" xfId="0" applyFont="1" applyBorder="1" applyAlignment="1">
      <alignment horizontal="right" vertical="center"/>
    </xf>
    <xf numFmtId="4" fontId="2" fillId="0" borderId="91" xfId="0" applyNumberFormat="1" applyFont="1" applyBorder="1" applyAlignment="1">
      <alignment horizontal="right" vertical="center"/>
    </xf>
    <xf numFmtId="4" fontId="3" fillId="4" borderId="0" xfId="0" applyNumberFormat="1" applyFont="1" applyFill="1" applyAlignment="1" applyProtection="1">
      <alignment horizontal="right" vertical="center"/>
      <protection locked="0"/>
    </xf>
    <xf numFmtId="4" fontId="3" fillId="4" borderId="40" xfId="0" applyNumberFormat="1" applyFont="1" applyFill="1" applyBorder="1" applyAlignment="1" applyProtection="1">
      <alignment horizontal="right" vertical="center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1" fontId="3" fillId="0" borderId="6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/>
    </xf>
    <xf numFmtId="0" fontId="6" fillId="0" borderId="55" xfId="0" applyFont="1" applyBorder="1" applyAlignment="1">
      <alignment horizontal="center" vertical="center"/>
    </xf>
    <xf numFmtId="0" fontId="8" fillId="0" borderId="57" xfId="0" applyFont="1" applyBorder="1" applyAlignment="1">
      <alignment horizontal="left" vertical="center"/>
    </xf>
    <xf numFmtId="0" fontId="8" fillId="0" borderId="58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9" fillId="0" borderId="65" xfId="0" applyFont="1" applyBorder="1" applyAlignment="1">
      <alignment horizontal="left" vertical="center"/>
    </xf>
    <xf numFmtId="0" fontId="9" fillId="0" borderId="63" xfId="0" applyFont="1" applyBorder="1" applyAlignment="1">
      <alignment horizontal="left" vertical="center"/>
    </xf>
    <xf numFmtId="0" fontId="9" fillId="0" borderId="66" xfId="0" applyFont="1" applyBorder="1" applyAlignment="1">
      <alignment horizontal="left" vertical="center"/>
    </xf>
    <xf numFmtId="0" fontId="9" fillId="0" borderId="67" xfId="0" applyFont="1" applyBorder="1" applyAlignment="1">
      <alignment horizontal="left" vertical="center"/>
    </xf>
    <xf numFmtId="0" fontId="9" fillId="0" borderId="70" xfId="0" applyFont="1" applyBorder="1" applyAlignment="1">
      <alignment horizontal="left" vertical="center"/>
    </xf>
    <xf numFmtId="0" fontId="9" fillId="0" borderId="58" xfId="0" applyFont="1" applyBorder="1" applyAlignment="1">
      <alignment horizontal="left" vertical="center"/>
    </xf>
    <xf numFmtId="0" fontId="10" fillId="0" borderId="62" xfId="0" applyFont="1" applyBorder="1" applyAlignment="1">
      <alignment horizontal="left" vertical="center"/>
    </xf>
    <xf numFmtId="0" fontId="10" fillId="0" borderId="63" xfId="0" applyFont="1" applyBorder="1" applyAlignment="1">
      <alignment horizontal="left" vertical="center"/>
    </xf>
    <xf numFmtId="0" fontId="10" fillId="0" borderId="69" xfId="0" applyFont="1" applyBorder="1" applyAlignment="1">
      <alignment horizontal="left" vertical="center"/>
    </xf>
    <xf numFmtId="0" fontId="10" fillId="0" borderId="67" xfId="0" applyFont="1" applyBorder="1" applyAlignment="1">
      <alignment horizontal="left" vertical="center"/>
    </xf>
    <xf numFmtId="0" fontId="9" fillId="0" borderId="57" xfId="0" applyFont="1" applyBorder="1" applyAlignment="1">
      <alignment horizontal="left" vertical="center"/>
    </xf>
    <xf numFmtId="0" fontId="9" fillId="2" borderId="70" xfId="0" applyFont="1" applyFill="1" applyBorder="1" applyAlignment="1">
      <alignment horizontal="left" vertical="center"/>
    </xf>
    <xf numFmtId="0" fontId="9" fillId="2" borderId="71" xfId="0" applyFont="1" applyFill="1" applyBorder="1" applyAlignment="1">
      <alignment horizontal="left" vertical="center"/>
    </xf>
    <xf numFmtId="0" fontId="9" fillId="2" borderId="65" xfId="0" applyFont="1" applyFill="1" applyBorder="1" applyAlignment="1">
      <alignment horizontal="left" vertical="center"/>
    </xf>
    <xf numFmtId="0" fontId="9" fillId="2" borderId="72" xfId="0" applyFont="1" applyFill="1" applyBorder="1" applyAlignment="1">
      <alignment horizontal="left" vertical="center"/>
    </xf>
    <xf numFmtId="0" fontId="9" fillId="2" borderId="57" xfId="0" applyFont="1" applyFill="1" applyBorder="1" applyAlignment="1">
      <alignment horizontal="left" vertical="center"/>
    </xf>
    <xf numFmtId="0" fontId="9" fillId="2" borderId="62" xfId="0" applyFont="1" applyFill="1" applyBorder="1" applyAlignment="1">
      <alignment horizontal="left" vertical="center"/>
    </xf>
    <xf numFmtId="0" fontId="10" fillId="0" borderId="73" xfId="0" applyFont="1" applyBorder="1" applyAlignment="1">
      <alignment horizontal="left" vertical="center"/>
    </xf>
    <xf numFmtId="0" fontId="10" fillId="0" borderId="74" xfId="0" applyFont="1" applyBorder="1" applyAlignment="1">
      <alignment horizontal="left" vertical="center"/>
    </xf>
    <xf numFmtId="0" fontId="10" fillId="0" borderId="75" xfId="0" applyFont="1" applyBorder="1" applyAlignment="1">
      <alignment horizontal="left" vertical="center"/>
    </xf>
    <xf numFmtId="0" fontId="10" fillId="0" borderId="77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78" xfId="0" applyFont="1" applyBorder="1" applyAlignment="1">
      <alignment horizontal="left" vertical="center"/>
    </xf>
    <xf numFmtId="0" fontId="10" fillId="0" borderId="76" xfId="0" applyFont="1" applyBorder="1" applyAlignment="1">
      <alignment horizontal="left" vertical="center"/>
    </xf>
    <xf numFmtId="0" fontId="10" fillId="0" borderId="79" xfId="0" applyFont="1" applyBorder="1" applyAlignment="1">
      <alignment horizontal="left" vertical="center"/>
    </xf>
    <xf numFmtId="0" fontId="10" fillId="0" borderId="83" xfId="0" applyFont="1" applyBorder="1" applyAlignment="1">
      <alignment horizontal="left" vertical="center"/>
    </xf>
    <xf numFmtId="0" fontId="10" fillId="0" borderId="81" xfId="0" applyFont="1" applyBorder="1" applyAlignment="1">
      <alignment horizontal="left" vertical="center"/>
    </xf>
    <xf numFmtId="0" fontId="10" fillId="0" borderId="82" xfId="0" applyFont="1" applyBorder="1" applyAlignment="1">
      <alignment horizontal="left" vertical="center"/>
    </xf>
    <xf numFmtId="0" fontId="10" fillId="0" borderId="80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  <xf numFmtId="0" fontId="3" fillId="0" borderId="63" xfId="0" applyFont="1" applyBorder="1" applyAlignment="1">
      <alignment horizontal="left" vertical="center"/>
    </xf>
    <xf numFmtId="0" fontId="3" fillId="0" borderId="84" xfId="0" applyFont="1" applyBorder="1" applyAlignment="1">
      <alignment horizontal="left" vertical="center"/>
    </xf>
    <xf numFmtId="0" fontId="3" fillId="0" borderId="85" xfId="0" applyFont="1" applyBorder="1" applyAlignment="1">
      <alignment horizontal="left" vertical="center"/>
    </xf>
    <xf numFmtId="0" fontId="3" fillId="0" borderId="86" xfId="0" applyFont="1" applyBorder="1" applyAlignment="1">
      <alignment horizontal="left" vertical="center"/>
    </xf>
    <xf numFmtId="0" fontId="2" fillId="0" borderId="88" xfId="0" applyFont="1" applyBorder="1" applyAlignment="1">
      <alignment horizontal="left" vertical="center"/>
    </xf>
    <xf numFmtId="0" fontId="2" fillId="0" borderId="89" xfId="0" applyFont="1" applyBorder="1" applyAlignment="1">
      <alignment horizontal="left" vertical="center"/>
    </xf>
    <xf numFmtId="0" fontId="2" fillId="0" borderId="90" xfId="0" applyFont="1" applyBorder="1" applyAlignment="1">
      <alignment horizontal="left" vertical="center"/>
    </xf>
    <xf numFmtId="0" fontId="9" fillId="0" borderId="88" xfId="0" applyFont="1" applyBorder="1" applyAlignment="1">
      <alignment horizontal="left" vertical="center"/>
    </xf>
    <xf numFmtId="0" fontId="9" fillId="0" borderId="89" xfId="0" applyFont="1" applyBorder="1" applyAlignment="1">
      <alignment horizontal="left" vertical="center"/>
    </xf>
    <xf numFmtId="0" fontId="9" fillId="0" borderId="90" xfId="0" applyFont="1" applyBorder="1" applyAlignment="1">
      <alignment horizontal="left" vertical="center"/>
    </xf>
    <xf numFmtId="4" fontId="9" fillId="0" borderId="92" xfId="0" applyNumberFormat="1" applyFont="1" applyBorder="1" applyAlignment="1">
      <alignment horizontal="right" vertical="center"/>
    </xf>
    <xf numFmtId="0" fontId="9" fillId="0" borderId="89" xfId="0" applyFont="1" applyBorder="1" applyAlignment="1">
      <alignment horizontal="right" vertical="center"/>
    </xf>
    <xf numFmtId="0" fontId="9" fillId="0" borderId="90" xfId="0" applyFont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2" borderId="37" xfId="0" applyFont="1" applyFill="1" applyBorder="1" applyAlignment="1">
      <alignment horizontal="left" vertical="center" wrapText="1"/>
    </xf>
    <xf numFmtId="0" fontId="2" fillId="2" borderId="37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 wrapText="1"/>
    </xf>
    <xf numFmtId="0" fontId="2" fillId="0" borderId="42" xfId="0" applyFont="1" applyBorder="1" applyAlignment="1">
      <alignment horizontal="left" vertical="center"/>
    </xf>
    <xf numFmtId="0" fontId="2" fillId="0" borderId="51" xfId="0" applyFont="1" applyBorder="1" applyAlignment="1">
      <alignment horizontal="left" vertical="center"/>
    </xf>
    <xf numFmtId="0" fontId="2" fillId="0" borderId="52" xfId="0" applyFont="1" applyBorder="1" applyAlignment="1">
      <alignment horizontal="left" vertical="center"/>
    </xf>
    <xf numFmtId="0" fontId="9" fillId="0" borderId="62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429496729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4294967295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4294967295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4294967295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429496729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4294967295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4294967295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4294967295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4294967295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4294967295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5"/>
  <sheetViews>
    <sheetView tabSelected="1" workbookViewId="0">
      <selection activeCell="I26" sqref="I2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05" t="s">
        <v>809</v>
      </c>
      <c r="B1" s="106"/>
      <c r="C1" s="106"/>
      <c r="D1" s="106"/>
      <c r="E1" s="106"/>
      <c r="F1" s="106"/>
      <c r="G1" s="106"/>
      <c r="H1" s="106"/>
      <c r="I1" s="106"/>
    </row>
    <row r="2" spans="1:9" x14ac:dyDescent="0.25">
      <c r="A2" s="107" t="s">
        <v>1</v>
      </c>
      <c r="B2" s="108"/>
      <c r="C2" s="117" t="str">
        <f>'Stavební rozpočet'!D2</f>
        <v>KD K-trio-Oprava sociálních zařízení a šaten</v>
      </c>
      <c r="D2" s="118"/>
      <c r="E2" s="112" t="s">
        <v>5</v>
      </c>
      <c r="F2" s="112" t="str">
        <f>'Stavební rozpočet'!J2</f>
        <v> </v>
      </c>
      <c r="G2" s="108"/>
      <c r="H2" s="112" t="s">
        <v>754</v>
      </c>
      <c r="I2" s="114" t="s">
        <v>50</v>
      </c>
    </row>
    <row r="3" spans="1:9" ht="15" customHeight="1" x14ac:dyDescent="0.25">
      <c r="A3" s="109"/>
      <c r="B3" s="110"/>
      <c r="C3" s="119"/>
      <c r="D3" s="119"/>
      <c r="E3" s="110"/>
      <c r="F3" s="110"/>
      <c r="G3" s="110"/>
      <c r="H3" s="110"/>
      <c r="I3" s="115"/>
    </row>
    <row r="4" spans="1:9" x14ac:dyDescent="0.25">
      <c r="A4" s="111" t="s">
        <v>7</v>
      </c>
      <c r="B4" s="110"/>
      <c r="C4" s="113" t="str">
        <f>'Stavební rozpočet'!D4</f>
        <v xml:space="preserve"> </v>
      </c>
      <c r="D4" s="110"/>
      <c r="E4" s="113" t="s">
        <v>9</v>
      </c>
      <c r="F4" s="113" t="str">
        <f>'Stavební rozpočet'!J4</f>
        <v> </v>
      </c>
      <c r="G4" s="110"/>
      <c r="H4" s="113" t="s">
        <v>754</v>
      </c>
      <c r="I4" s="115" t="s">
        <v>50</v>
      </c>
    </row>
    <row r="5" spans="1:9" ht="15" customHeight="1" x14ac:dyDescent="0.25">
      <c r="A5" s="109"/>
      <c r="B5" s="110"/>
      <c r="C5" s="110"/>
      <c r="D5" s="110"/>
      <c r="E5" s="110"/>
      <c r="F5" s="110"/>
      <c r="G5" s="110"/>
      <c r="H5" s="110"/>
      <c r="I5" s="115"/>
    </row>
    <row r="6" spans="1:9" x14ac:dyDescent="0.25">
      <c r="A6" s="111" t="s">
        <v>10</v>
      </c>
      <c r="B6" s="110"/>
      <c r="C6" s="113" t="str">
        <f>'Stavební rozpočet'!D6</f>
        <v xml:space="preserve"> </v>
      </c>
      <c r="D6" s="110"/>
      <c r="E6" s="113" t="s">
        <v>12</v>
      </c>
      <c r="F6" s="113" t="str">
        <f>'Stavební rozpočet'!J6</f>
        <v> </v>
      </c>
      <c r="G6" s="110"/>
      <c r="H6" s="113" t="s">
        <v>754</v>
      </c>
      <c r="I6" s="115" t="s">
        <v>50</v>
      </c>
    </row>
    <row r="7" spans="1:9" ht="15" customHeight="1" x14ac:dyDescent="0.25">
      <c r="A7" s="109"/>
      <c r="B7" s="110"/>
      <c r="C7" s="110"/>
      <c r="D7" s="110"/>
      <c r="E7" s="110"/>
      <c r="F7" s="110"/>
      <c r="G7" s="110"/>
      <c r="H7" s="110"/>
      <c r="I7" s="115"/>
    </row>
    <row r="8" spans="1:9" x14ac:dyDescent="0.25">
      <c r="A8" s="111" t="s">
        <v>8</v>
      </c>
      <c r="B8" s="110"/>
      <c r="C8" s="113">
        <f>'Stavební rozpočet'!H4</f>
        <v>0</v>
      </c>
      <c r="D8" s="110"/>
      <c r="E8" s="113" t="s">
        <v>11</v>
      </c>
      <c r="F8" s="113" t="str">
        <f>'Stavební rozpočet'!H6</f>
        <v xml:space="preserve"> </v>
      </c>
      <c r="G8" s="110"/>
      <c r="H8" s="110" t="s">
        <v>755</v>
      </c>
      <c r="I8" s="116">
        <v>142</v>
      </c>
    </row>
    <row r="9" spans="1:9" x14ac:dyDescent="0.25">
      <c r="A9" s="109"/>
      <c r="B9" s="110"/>
      <c r="C9" s="110"/>
      <c r="D9" s="110"/>
      <c r="E9" s="110"/>
      <c r="F9" s="110"/>
      <c r="G9" s="110"/>
      <c r="H9" s="110"/>
      <c r="I9" s="115"/>
    </row>
    <row r="10" spans="1:9" x14ac:dyDescent="0.25">
      <c r="A10" s="111" t="s">
        <v>13</v>
      </c>
      <c r="B10" s="110"/>
      <c r="C10" s="113" t="str">
        <f>'Stavební rozpočet'!D8</f>
        <v xml:space="preserve"> </v>
      </c>
      <c r="D10" s="110"/>
      <c r="E10" s="113" t="s">
        <v>15</v>
      </c>
      <c r="F10" s="113" t="str">
        <f>'Stavební rozpočet'!J8</f>
        <v> </v>
      </c>
      <c r="G10" s="110"/>
      <c r="H10" s="110" t="s">
        <v>756</v>
      </c>
      <c r="I10" s="121">
        <f>'Stavební rozpočet'!H8</f>
        <v>0</v>
      </c>
    </row>
    <row r="11" spans="1:9" x14ac:dyDescent="0.25">
      <c r="A11" s="126"/>
      <c r="B11" s="120"/>
      <c r="C11" s="120"/>
      <c r="D11" s="120"/>
      <c r="E11" s="120"/>
      <c r="F11" s="120"/>
      <c r="G11" s="120"/>
      <c r="H11" s="120"/>
      <c r="I11" s="122"/>
    </row>
    <row r="12" spans="1:9" ht="23.25" x14ac:dyDescent="0.25">
      <c r="A12" s="123" t="s">
        <v>757</v>
      </c>
      <c r="B12" s="123"/>
      <c r="C12" s="123"/>
      <c r="D12" s="123"/>
      <c r="E12" s="123"/>
      <c r="F12" s="123"/>
      <c r="G12" s="123"/>
      <c r="H12" s="123"/>
      <c r="I12" s="123"/>
    </row>
    <row r="13" spans="1:9" ht="26.25" customHeight="1" x14ac:dyDescent="0.25">
      <c r="A13" s="82" t="s">
        <v>758</v>
      </c>
      <c r="B13" s="124" t="s">
        <v>759</v>
      </c>
      <c r="C13" s="125"/>
      <c r="D13" s="83" t="s">
        <v>760</v>
      </c>
      <c r="E13" s="124" t="s">
        <v>761</v>
      </c>
      <c r="F13" s="125"/>
      <c r="G13" s="83" t="s">
        <v>762</v>
      </c>
      <c r="H13" s="124" t="s">
        <v>763</v>
      </c>
      <c r="I13" s="125"/>
    </row>
    <row r="14" spans="1:9" ht="15.75" x14ac:dyDescent="0.25">
      <c r="A14" s="84" t="s">
        <v>764</v>
      </c>
      <c r="B14" s="85" t="s">
        <v>765</v>
      </c>
      <c r="C14" s="86">
        <f>SUMIF('Stavební rozpočet'!AI12:AI247,"SO 01",'Stavební rozpočet'!AB12:AB247)</f>
        <v>0</v>
      </c>
      <c r="D14" s="133" t="s">
        <v>766</v>
      </c>
      <c r="E14" s="134"/>
      <c r="F14" s="86">
        <f>'VORN objektu (SO 01)'!I15</f>
        <v>0</v>
      </c>
      <c r="G14" s="133" t="s">
        <v>767</v>
      </c>
      <c r="H14" s="134"/>
      <c r="I14" s="86">
        <f>'VORN objektu (SO 01)'!I21</f>
        <v>0</v>
      </c>
    </row>
    <row r="15" spans="1:9" ht="15.75" x14ac:dyDescent="0.25">
      <c r="A15" s="87" t="s">
        <v>50</v>
      </c>
      <c r="B15" s="85" t="s">
        <v>33</v>
      </c>
      <c r="C15" s="86">
        <f>SUMIF('Stavební rozpočet'!AI12:AI247,"SO 01",'Stavební rozpočet'!AC12:AC247)</f>
        <v>0</v>
      </c>
      <c r="D15" s="133" t="s">
        <v>768</v>
      </c>
      <c r="E15" s="134"/>
      <c r="F15" s="86">
        <f>'VORN objektu (SO 01)'!I16</f>
        <v>0</v>
      </c>
      <c r="G15" s="133" t="s">
        <v>769</v>
      </c>
      <c r="H15" s="134"/>
      <c r="I15" s="86">
        <f>'VORN objektu (SO 01)'!I22</f>
        <v>0</v>
      </c>
    </row>
    <row r="16" spans="1:9" ht="15.75" x14ac:dyDescent="0.25">
      <c r="A16" s="84" t="s">
        <v>770</v>
      </c>
      <c r="B16" s="85" t="s">
        <v>765</v>
      </c>
      <c r="C16" s="86">
        <f>SUMIF('Stavební rozpočet'!AI12:AI247,"SO 01",'Stavební rozpočet'!AD12:AD247)</f>
        <v>0</v>
      </c>
      <c r="D16" s="133" t="s">
        <v>771</v>
      </c>
      <c r="E16" s="134"/>
      <c r="F16" s="86">
        <f>'VORN objektu (SO 01)'!I17</f>
        <v>0</v>
      </c>
      <c r="G16" s="133" t="s">
        <v>772</v>
      </c>
      <c r="H16" s="134"/>
      <c r="I16" s="86">
        <f>'VORN objektu (SO 01)'!I23</f>
        <v>0</v>
      </c>
    </row>
    <row r="17" spans="1:9" ht="15.75" x14ac:dyDescent="0.25">
      <c r="A17" s="87" t="s">
        <v>50</v>
      </c>
      <c r="B17" s="85" t="s">
        <v>33</v>
      </c>
      <c r="C17" s="86">
        <f>SUMIF('Stavební rozpočet'!AI12:AI247,"SO 01",'Stavební rozpočet'!AE12:AE247)</f>
        <v>0</v>
      </c>
      <c r="D17" s="133" t="s">
        <v>50</v>
      </c>
      <c r="E17" s="134"/>
      <c r="F17" s="88" t="s">
        <v>50</v>
      </c>
      <c r="G17" s="133" t="s">
        <v>773</v>
      </c>
      <c r="H17" s="134"/>
      <c r="I17" s="86">
        <f>'VORN objektu (SO 01)'!I24</f>
        <v>0</v>
      </c>
    </row>
    <row r="18" spans="1:9" ht="15.75" x14ac:dyDescent="0.25">
      <c r="A18" s="84" t="s">
        <v>774</v>
      </c>
      <c r="B18" s="85" t="s">
        <v>765</v>
      </c>
      <c r="C18" s="86">
        <f>SUMIF('Stavební rozpočet'!AI12:AI247,"SO 01",'Stavební rozpočet'!AF12:AF247)</f>
        <v>0</v>
      </c>
      <c r="D18" s="133" t="s">
        <v>50</v>
      </c>
      <c r="E18" s="134"/>
      <c r="F18" s="88" t="s">
        <v>50</v>
      </c>
      <c r="G18" s="133" t="s">
        <v>775</v>
      </c>
      <c r="H18" s="134"/>
      <c r="I18" s="86">
        <f>'VORN objektu (SO 01)'!I25</f>
        <v>0</v>
      </c>
    </row>
    <row r="19" spans="1:9" ht="15.75" x14ac:dyDescent="0.25">
      <c r="A19" s="87" t="s">
        <v>50</v>
      </c>
      <c r="B19" s="85" t="s">
        <v>33</v>
      </c>
      <c r="C19" s="86">
        <f>SUMIF('Stavební rozpočet'!AI12:AI247,"SO 01",'Stavební rozpočet'!AG12:AG247)</f>
        <v>0</v>
      </c>
      <c r="D19" s="133" t="s">
        <v>50</v>
      </c>
      <c r="E19" s="134"/>
      <c r="F19" s="88" t="s">
        <v>50</v>
      </c>
      <c r="G19" s="133" t="s">
        <v>776</v>
      </c>
      <c r="H19" s="134"/>
      <c r="I19" s="86">
        <f>'VORN objektu (SO 01)'!I26</f>
        <v>0</v>
      </c>
    </row>
    <row r="20" spans="1:9" ht="15.75" x14ac:dyDescent="0.25">
      <c r="A20" s="127" t="s">
        <v>777</v>
      </c>
      <c r="B20" s="128"/>
      <c r="C20" s="86">
        <f>SUMIF('Stavební rozpočet'!AI12:AI247,"SO 01",'Stavební rozpočet'!AH12:AH247)</f>
        <v>0</v>
      </c>
      <c r="D20" s="133" t="s">
        <v>50</v>
      </c>
      <c r="E20" s="134"/>
      <c r="F20" s="88" t="s">
        <v>50</v>
      </c>
      <c r="G20" s="133" t="s">
        <v>50</v>
      </c>
      <c r="H20" s="134"/>
      <c r="I20" s="88" t="s">
        <v>50</v>
      </c>
    </row>
    <row r="21" spans="1:9" ht="15.75" x14ac:dyDescent="0.25">
      <c r="A21" s="129" t="s">
        <v>778</v>
      </c>
      <c r="B21" s="130"/>
      <c r="C21" s="86">
        <f>SUMIF('Stavební rozpočet'!AI12:AI247,"SO 01",'Stavební rozpočet'!Z12:Z247)</f>
        <v>0</v>
      </c>
      <c r="D21" s="135" t="s">
        <v>50</v>
      </c>
      <c r="E21" s="136"/>
      <c r="F21" s="90" t="s">
        <v>50</v>
      </c>
      <c r="G21" s="135" t="s">
        <v>50</v>
      </c>
      <c r="H21" s="136"/>
      <c r="I21" s="90" t="s">
        <v>50</v>
      </c>
    </row>
    <row r="22" spans="1:9" ht="16.5" customHeight="1" x14ac:dyDescent="0.25">
      <c r="A22" s="131" t="s">
        <v>779</v>
      </c>
      <c r="B22" s="132"/>
      <c r="C22" s="86">
        <f>ROUND(SUM(C14:C21),2)</f>
        <v>0</v>
      </c>
      <c r="D22" s="137" t="s">
        <v>780</v>
      </c>
      <c r="E22" s="132"/>
      <c r="F22" s="91">
        <f>SUM(F14:F21)</f>
        <v>0</v>
      </c>
      <c r="G22" s="137" t="s">
        <v>781</v>
      </c>
      <c r="H22" s="132"/>
      <c r="I22" s="91">
        <f>SUM(I14:I21)</f>
        <v>0</v>
      </c>
    </row>
    <row r="23" spans="1:9" ht="15.75" x14ac:dyDescent="0.25">
      <c r="G23" s="127" t="s">
        <v>784</v>
      </c>
      <c r="H23" s="128"/>
      <c r="I23" s="86">
        <f>'VORN objektu (SO 01)'!I36</f>
        <v>0</v>
      </c>
    </row>
    <row r="25" spans="1:9" ht="15.75" x14ac:dyDescent="0.25">
      <c r="A25" s="138" t="s">
        <v>786</v>
      </c>
      <c r="B25" s="139"/>
      <c r="C25" s="92">
        <f>ROUND(('Stavební rozpočet'!AS13+'Stavební rozpočet'!AS52+'Stavební rozpočet'!AS67+'Stavební rozpočet'!AS69+'Stavební rozpočet'!AS79+'Stavební rozpočet'!AS85+'Stavební rozpočet'!AS93+'Stavební rozpočet'!AS98+'Stavební rozpočet'!AS105+'Stavební rozpočet'!AS117+'Stavební rozpočet'!AS130+'Stavební rozpočet'!AS171+'Stavební rozpočet'!AS174+'Stavební rozpočet'!AS176+'Stavební rozpočet'!AS190+'Stavební rozpočet'!AS218+'Stavební rozpočet'!AS224+'Stavební rozpočet'!AS227+'Stavební rozpočet'!AS237+'Stavební rozpočet'!AS241+'Stavební rozpočet'!AS246),2)</f>
        <v>0</v>
      </c>
    </row>
    <row r="26" spans="1:9" ht="15.75" x14ac:dyDescent="0.25">
      <c r="A26" s="140" t="s">
        <v>787</v>
      </c>
      <c r="B26" s="141"/>
      <c r="C26" s="93">
        <f>ROUND(('Stavební rozpočet'!AT13+'Stavební rozpočet'!AT52+'Stavební rozpočet'!AT67+'Stavební rozpočet'!AT69+'Stavební rozpočet'!AT79+'Stavební rozpočet'!AT85+'Stavební rozpočet'!AT93+'Stavební rozpočet'!AT98+'Stavební rozpočet'!AT105+'Stavební rozpočet'!AT117+'Stavební rozpočet'!AT130+'Stavební rozpočet'!AT171+'Stavební rozpočet'!AT174+'Stavební rozpočet'!AT176+'Stavební rozpočet'!AT190+'Stavební rozpočet'!AT218+'Stavební rozpočet'!AT224+'Stavební rozpočet'!AT227+'Stavební rozpočet'!AT237+'Stavební rozpočet'!AT241+'Stavební rozpočet'!AT246),2)</f>
        <v>0</v>
      </c>
      <c r="D26" s="142" t="s">
        <v>788</v>
      </c>
      <c r="E26" s="139"/>
      <c r="F26" s="92">
        <f>ROUND(C26*(12/100),2)</f>
        <v>0</v>
      </c>
      <c r="G26" s="142" t="s">
        <v>789</v>
      </c>
      <c r="H26" s="139"/>
      <c r="I26" s="92">
        <f>ROUND(SUM(C25:C27),2)</f>
        <v>0</v>
      </c>
    </row>
    <row r="27" spans="1:9" ht="15.75" x14ac:dyDescent="0.25">
      <c r="A27" s="140" t="s">
        <v>790</v>
      </c>
      <c r="B27" s="141"/>
      <c r="C27" s="93">
        <f>ROUND(('Stavební rozpočet'!AU13+'Stavební rozpočet'!AU52+'Stavební rozpočet'!AU67+'Stavební rozpočet'!AU69+'Stavební rozpočet'!AU79+'Stavební rozpočet'!AU85+'Stavební rozpočet'!AU93+'Stavební rozpočet'!AU98+'Stavební rozpočet'!AU105+'Stavební rozpočet'!AU117+'Stavební rozpočet'!AU130+'Stavební rozpočet'!AU171+'Stavební rozpočet'!AU174+'Stavební rozpočet'!AU176+'Stavební rozpočet'!AU190+'Stavební rozpočet'!AU218+'Stavební rozpočet'!AU224+'Stavební rozpočet'!AU227+'Stavební rozpočet'!AU237+'Stavební rozpočet'!AU241+'Stavební rozpočet'!AU246)+(F22+I22+F23+I23+I24),2)</f>
        <v>0</v>
      </c>
      <c r="D27" s="143" t="s">
        <v>791</v>
      </c>
      <c r="E27" s="141"/>
      <c r="F27" s="93">
        <f>ROUND(C27*(21/100),2)</f>
        <v>0</v>
      </c>
      <c r="G27" s="143" t="s">
        <v>792</v>
      </c>
      <c r="H27" s="141"/>
      <c r="I27" s="93">
        <f>ROUND(SUM(F26:F27)+I26,2)</f>
        <v>0</v>
      </c>
    </row>
    <row r="29" spans="1:9" x14ac:dyDescent="0.25">
      <c r="A29" s="144" t="s">
        <v>793</v>
      </c>
      <c r="B29" s="145"/>
      <c r="C29" s="146"/>
      <c r="D29" s="150" t="s">
        <v>794</v>
      </c>
      <c r="E29" s="145"/>
      <c r="F29" s="146"/>
      <c r="G29" s="150" t="s">
        <v>795</v>
      </c>
      <c r="H29" s="145"/>
      <c r="I29" s="146"/>
    </row>
    <row r="30" spans="1:9" x14ac:dyDescent="0.25">
      <c r="A30" s="147" t="s">
        <v>50</v>
      </c>
      <c r="B30" s="148"/>
      <c r="C30" s="149"/>
      <c r="D30" s="151" t="s">
        <v>50</v>
      </c>
      <c r="E30" s="148"/>
      <c r="F30" s="149"/>
      <c r="G30" s="151" t="s">
        <v>50</v>
      </c>
      <c r="H30" s="148"/>
      <c r="I30" s="149"/>
    </row>
    <row r="31" spans="1:9" x14ac:dyDescent="0.25">
      <c r="A31" s="147" t="s">
        <v>50</v>
      </c>
      <c r="B31" s="148"/>
      <c r="C31" s="149"/>
      <c r="D31" s="151" t="s">
        <v>50</v>
      </c>
      <c r="E31" s="148"/>
      <c r="F31" s="149"/>
      <c r="G31" s="151" t="s">
        <v>50</v>
      </c>
      <c r="H31" s="148"/>
      <c r="I31" s="149"/>
    </row>
    <row r="32" spans="1:9" x14ac:dyDescent="0.25">
      <c r="A32" s="147" t="s">
        <v>50</v>
      </c>
      <c r="B32" s="148"/>
      <c r="C32" s="149"/>
      <c r="D32" s="151" t="s">
        <v>50</v>
      </c>
      <c r="E32" s="148"/>
      <c r="F32" s="149"/>
      <c r="G32" s="151" t="s">
        <v>50</v>
      </c>
      <c r="H32" s="148"/>
      <c r="I32" s="149"/>
    </row>
    <row r="33" spans="1:9" x14ac:dyDescent="0.25">
      <c r="A33" s="155" t="s">
        <v>796</v>
      </c>
      <c r="B33" s="153"/>
      <c r="C33" s="154"/>
      <c r="D33" s="152" t="s">
        <v>796</v>
      </c>
      <c r="E33" s="153"/>
      <c r="F33" s="154"/>
      <c r="G33" s="152" t="s">
        <v>796</v>
      </c>
      <c r="H33" s="153"/>
      <c r="I33" s="154"/>
    </row>
    <row r="34" spans="1:9" x14ac:dyDescent="0.25">
      <c r="A34" s="94" t="s">
        <v>608</v>
      </c>
    </row>
    <row r="35" spans="1:9" ht="12.75" customHeight="1" x14ac:dyDescent="0.25">
      <c r="A35" s="113" t="s">
        <v>50</v>
      </c>
      <c r="B35" s="110"/>
      <c r="C35" s="110"/>
      <c r="D35" s="110"/>
      <c r="E35" s="110"/>
      <c r="F35" s="110"/>
      <c r="G35" s="110"/>
      <c r="H35" s="110"/>
      <c r="I35" s="110"/>
    </row>
  </sheetData>
  <sheetProtection password="E9AE" sheet="1" objects="1" scenarios="1"/>
  <mergeCells count="80">
    <mergeCell ref="D32:F32"/>
    <mergeCell ref="D33:F33"/>
    <mergeCell ref="G32:I32"/>
    <mergeCell ref="G33:I33"/>
    <mergeCell ref="A35:I35"/>
    <mergeCell ref="A32:C32"/>
    <mergeCell ref="A33:C33"/>
    <mergeCell ref="G26:H26"/>
    <mergeCell ref="G27:H27"/>
    <mergeCell ref="A29:C29"/>
    <mergeCell ref="A30:C30"/>
    <mergeCell ref="A31:C31"/>
    <mergeCell ref="G29:I29"/>
    <mergeCell ref="G30:I30"/>
    <mergeCell ref="G31:I31"/>
    <mergeCell ref="D29:F29"/>
    <mergeCell ref="D30:F30"/>
    <mergeCell ref="D31:F31"/>
    <mergeCell ref="A25:B25"/>
    <mergeCell ref="A26:B26"/>
    <mergeCell ref="A27:B27"/>
    <mergeCell ref="D26:E26"/>
    <mergeCell ref="D27:E27"/>
    <mergeCell ref="G19:H19"/>
    <mergeCell ref="G20:H20"/>
    <mergeCell ref="G21:H21"/>
    <mergeCell ref="G22:H22"/>
    <mergeCell ref="G23:H23"/>
    <mergeCell ref="G14:H14"/>
    <mergeCell ref="G15:H15"/>
    <mergeCell ref="G16:H16"/>
    <mergeCell ref="G17:H17"/>
    <mergeCell ref="G18:H18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A10:B11"/>
    <mergeCell ref="H2:H3"/>
    <mergeCell ref="H4:H5"/>
    <mergeCell ref="H6:H7"/>
    <mergeCell ref="H8:H9"/>
    <mergeCell ref="H10:H11"/>
    <mergeCell ref="C8:D9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05" t="s">
        <v>813</v>
      </c>
      <c r="B1" s="106"/>
      <c r="C1" s="106"/>
      <c r="D1" s="106"/>
      <c r="E1" s="106"/>
      <c r="F1" s="106"/>
      <c r="G1" s="106"/>
      <c r="H1" s="106"/>
      <c r="I1" s="106"/>
    </row>
    <row r="2" spans="1:9" x14ac:dyDescent="0.25">
      <c r="A2" s="107" t="s">
        <v>1</v>
      </c>
      <c r="B2" s="108"/>
      <c r="C2" s="117" t="str">
        <f>'Stavební rozpočet'!D2</f>
        <v>KD K-trio-Oprava sociálních zařízení a šaten</v>
      </c>
      <c r="D2" s="118"/>
      <c r="E2" s="112" t="s">
        <v>5</v>
      </c>
      <c r="F2" s="112" t="str">
        <f>'Stavební rozpočet'!J2</f>
        <v> </v>
      </c>
      <c r="G2" s="108"/>
      <c r="H2" s="112" t="s">
        <v>754</v>
      </c>
      <c r="I2" s="114" t="s">
        <v>50</v>
      </c>
    </row>
    <row r="3" spans="1:9" ht="15" customHeight="1" x14ac:dyDescent="0.25">
      <c r="A3" s="109"/>
      <c r="B3" s="110"/>
      <c r="C3" s="119"/>
      <c r="D3" s="119"/>
      <c r="E3" s="110"/>
      <c r="F3" s="110"/>
      <c r="G3" s="110"/>
      <c r="H3" s="110"/>
      <c r="I3" s="115"/>
    </row>
    <row r="4" spans="1:9" x14ac:dyDescent="0.25">
      <c r="A4" s="111" t="s">
        <v>7</v>
      </c>
      <c r="B4" s="110"/>
      <c r="C4" s="113" t="str">
        <f>'Stavební rozpočet'!D4</f>
        <v xml:space="preserve"> </v>
      </c>
      <c r="D4" s="110"/>
      <c r="E4" s="113" t="s">
        <v>9</v>
      </c>
      <c r="F4" s="113" t="str">
        <f>'Stavební rozpočet'!J4</f>
        <v> </v>
      </c>
      <c r="G4" s="110"/>
      <c r="H4" s="113" t="s">
        <v>754</v>
      </c>
      <c r="I4" s="115" t="s">
        <v>50</v>
      </c>
    </row>
    <row r="5" spans="1:9" ht="15" customHeight="1" x14ac:dyDescent="0.25">
      <c r="A5" s="109"/>
      <c r="B5" s="110"/>
      <c r="C5" s="110"/>
      <c r="D5" s="110"/>
      <c r="E5" s="110"/>
      <c r="F5" s="110"/>
      <c r="G5" s="110"/>
      <c r="H5" s="110"/>
      <c r="I5" s="115"/>
    </row>
    <row r="6" spans="1:9" x14ac:dyDescent="0.25">
      <c r="A6" s="111" t="s">
        <v>10</v>
      </c>
      <c r="B6" s="110"/>
      <c r="C6" s="113" t="str">
        <f>'Stavební rozpočet'!D6</f>
        <v xml:space="preserve"> </v>
      </c>
      <c r="D6" s="110"/>
      <c r="E6" s="113" t="s">
        <v>12</v>
      </c>
      <c r="F6" s="113" t="str">
        <f>'Stavební rozpočet'!J6</f>
        <v> </v>
      </c>
      <c r="G6" s="110"/>
      <c r="H6" s="113" t="s">
        <v>754</v>
      </c>
      <c r="I6" s="115" t="s">
        <v>50</v>
      </c>
    </row>
    <row r="7" spans="1:9" ht="15" customHeight="1" x14ac:dyDescent="0.25">
      <c r="A7" s="109"/>
      <c r="B7" s="110"/>
      <c r="C7" s="110"/>
      <c r="D7" s="110"/>
      <c r="E7" s="110"/>
      <c r="F7" s="110"/>
      <c r="G7" s="110"/>
      <c r="H7" s="110"/>
      <c r="I7" s="115"/>
    </row>
    <row r="8" spans="1:9" x14ac:dyDescent="0.25">
      <c r="A8" s="111" t="s">
        <v>8</v>
      </c>
      <c r="B8" s="110"/>
      <c r="C8" s="113">
        <f>'Stavební rozpočet'!H4</f>
        <v>0</v>
      </c>
      <c r="D8" s="110"/>
      <c r="E8" s="113" t="s">
        <v>11</v>
      </c>
      <c r="F8" s="113" t="str">
        <f>'Stavební rozpočet'!H6</f>
        <v xml:space="preserve"> </v>
      </c>
      <c r="G8" s="110"/>
      <c r="H8" s="110" t="s">
        <v>755</v>
      </c>
      <c r="I8" s="116">
        <v>0</v>
      </c>
    </row>
    <row r="9" spans="1:9" x14ac:dyDescent="0.25">
      <c r="A9" s="109"/>
      <c r="B9" s="110"/>
      <c r="C9" s="110"/>
      <c r="D9" s="110"/>
      <c r="E9" s="110"/>
      <c r="F9" s="110"/>
      <c r="G9" s="110"/>
      <c r="H9" s="110"/>
      <c r="I9" s="115"/>
    </row>
    <row r="10" spans="1:9" x14ac:dyDescent="0.25">
      <c r="A10" s="111" t="s">
        <v>13</v>
      </c>
      <c r="B10" s="110"/>
      <c r="C10" s="113" t="str">
        <f>'Stavební rozpočet'!D8</f>
        <v xml:space="preserve"> </v>
      </c>
      <c r="D10" s="110"/>
      <c r="E10" s="113" t="s">
        <v>15</v>
      </c>
      <c r="F10" s="113" t="str">
        <f>'Stavební rozpočet'!J8</f>
        <v> </v>
      </c>
      <c r="G10" s="110"/>
      <c r="H10" s="110" t="s">
        <v>756</v>
      </c>
      <c r="I10" s="121">
        <f>'Stavební rozpočet'!H8</f>
        <v>0</v>
      </c>
    </row>
    <row r="11" spans="1:9" x14ac:dyDescent="0.25">
      <c r="A11" s="126"/>
      <c r="B11" s="120"/>
      <c r="C11" s="120"/>
      <c r="D11" s="120"/>
      <c r="E11" s="120"/>
      <c r="F11" s="120"/>
      <c r="G11" s="120"/>
      <c r="H11" s="120"/>
      <c r="I11" s="122"/>
    </row>
    <row r="13" spans="1:9" ht="15.75" x14ac:dyDescent="0.25">
      <c r="A13" s="160" t="s">
        <v>798</v>
      </c>
      <c r="B13" s="160"/>
      <c r="C13" s="160"/>
      <c r="D13" s="160"/>
      <c r="E13" s="160"/>
    </row>
    <row r="14" spans="1:9" x14ac:dyDescent="0.25">
      <c r="A14" s="161" t="s">
        <v>799</v>
      </c>
      <c r="B14" s="162"/>
      <c r="C14" s="162"/>
      <c r="D14" s="162"/>
      <c r="E14" s="163"/>
      <c r="F14" s="95" t="s">
        <v>800</v>
      </c>
      <c r="G14" s="95" t="s">
        <v>801</v>
      </c>
      <c r="H14" s="95" t="s">
        <v>802</v>
      </c>
      <c r="I14" s="95" t="s">
        <v>800</v>
      </c>
    </row>
    <row r="15" spans="1:9" x14ac:dyDescent="0.25">
      <c r="A15" s="164" t="s">
        <v>766</v>
      </c>
      <c r="B15" s="165"/>
      <c r="C15" s="165"/>
      <c r="D15" s="165"/>
      <c r="E15" s="166"/>
      <c r="F15" s="96">
        <v>0</v>
      </c>
      <c r="G15" s="97" t="s">
        <v>50</v>
      </c>
      <c r="H15" s="97" t="s">
        <v>50</v>
      </c>
      <c r="I15" s="96">
        <f>F15</f>
        <v>0</v>
      </c>
    </row>
    <row r="16" spans="1:9" x14ac:dyDescent="0.25">
      <c r="A16" s="164" t="s">
        <v>768</v>
      </c>
      <c r="B16" s="165"/>
      <c r="C16" s="165"/>
      <c r="D16" s="165"/>
      <c r="E16" s="166"/>
      <c r="F16" s="96">
        <v>0</v>
      </c>
      <c r="G16" s="97" t="s">
        <v>50</v>
      </c>
      <c r="H16" s="97" t="s">
        <v>50</v>
      </c>
      <c r="I16" s="96">
        <f>F16</f>
        <v>0</v>
      </c>
    </row>
    <row r="17" spans="1:9" x14ac:dyDescent="0.25">
      <c r="A17" s="167" t="s">
        <v>771</v>
      </c>
      <c r="B17" s="168"/>
      <c r="C17" s="168"/>
      <c r="D17" s="168"/>
      <c r="E17" s="169"/>
      <c r="F17" s="98">
        <v>0</v>
      </c>
      <c r="G17" s="99" t="s">
        <v>50</v>
      </c>
      <c r="H17" s="99" t="s">
        <v>50</v>
      </c>
      <c r="I17" s="98">
        <f>F17</f>
        <v>0</v>
      </c>
    </row>
    <row r="18" spans="1:9" x14ac:dyDescent="0.25">
      <c r="A18" s="170" t="s">
        <v>803</v>
      </c>
      <c r="B18" s="171"/>
      <c r="C18" s="171"/>
      <c r="D18" s="171"/>
      <c r="E18" s="172"/>
      <c r="F18" s="100" t="s">
        <v>50</v>
      </c>
      <c r="G18" s="101" t="s">
        <v>50</v>
      </c>
      <c r="H18" s="101" t="s">
        <v>50</v>
      </c>
      <c r="I18" s="102">
        <f>SUM(I15:I17)</f>
        <v>0</v>
      </c>
    </row>
    <row r="20" spans="1:9" x14ac:dyDescent="0.25">
      <c r="A20" s="161" t="s">
        <v>763</v>
      </c>
      <c r="B20" s="162"/>
      <c r="C20" s="162"/>
      <c r="D20" s="162"/>
      <c r="E20" s="163"/>
      <c r="F20" s="95" t="s">
        <v>800</v>
      </c>
      <c r="G20" s="95" t="s">
        <v>801</v>
      </c>
      <c r="H20" s="95" t="s">
        <v>802</v>
      </c>
      <c r="I20" s="95" t="s">
        <v>800</v>
      </c>
    </row>
    <row r="21" spans="1:9" x14ac:dyDescent="0.25">
      <c r="A21" s="164" t="s">
        <v>767</v>
      </c>
      <c r="B21" s="165"/>
      <c r="C21" s="165"/>
      <c r="D21" s="165"/>
      <c r="E21" s="166"/>
      <c r="F21" s="97" t="s">
        <v>50</v>
      </c>
      <c r="G21" s="96">
        <v>1</v>
      </c>
      <c r="H21" s="96">
        <f>'Krycí list rozpočtu (SO 02)'!C22</f>
        <v>0</v>
      </c>
      <c r="I21" s="96">
        <f>ROUND((G21/100)*H21,2)</f>
        <v>0</v>
      </c>
    </row>
    <row r="22" spans="1:9" x14ac:dyDescent="0.25">
      <c r="A22" s="164" t="s">
        <v>769</v>
      </c>
      <c r="B22" s="165"/>
      <c r="C22" s="165"/>
      <c r="D22" s="165"/>
      <c r="E22" s="166"/>
      <c r="F22" s="96">
        <v>0</v>
      </c>
      <c r="G22" s="97" t="s">
        <v>50</v>
      </c>
      <c r="H22" s="97" t="s">
        <v>50</v>
      </c>
      <c r="I22" s="96">
        <f>F22</f>
        <v>0</v>
      </c>
    </row>
    <row r="23" spans="1:9" x14ac:dyDescent="0.25">
      <c r="A23" s="164" t="s">
        <v>772</v>
      </c>
      <c r="B23" s="165"/>
      <c r="C23" s="165"/>
      <c r="D23" s="165"/>
      <c r="E23" s="166"/>
      <c r="F23" s="96">
        <v>0</v>
      </c>
      <c r="G23" s="97" t="s">
        <v>50</v>
      </c>
      <c r="H23" s="97" t="s">
        <v>50</v>
      </c>
      <c r="I23" s="96">
        <f>F23</f>
        <v>0</v>
      </c>
    </row>
    <row r="24" spans="1:9" x14ac:dyDescent="0.25">
      <c r="A24" s="164" t="s">
        <v>773</v>
      </c>
      <c r="B24" s="165"/>
      <c r="C24" s="165"/>
      <c r="D24" s="165"/>
      <c r="E24" s="166"/>
      <c r="F24" s="96">
        <v>0</v>
      </c>
      <c r="G24" s="97" t="s">
        <v>50</v>
      </c>
      <c r="H24" s="97" t="s">
        <v>50</v>
      </c>
      <c r="I24" s="96">
        <f>F24</f>
        <v>0</v>
      </c>
    </row>
    <row r="25" spans="1:9" x14ac:dyDescent="0.25">
      <c r="A25" s="164" t="s">
        <v>775</v>
      </c>
      <c r="B25" s="165"/>
      <c r="C25" s="165"/>
      <c r="D25" s="165"/>
      <c r="E25" s="166"/>
      <c r="F25" s="96">
        <v>0</v>
      </c>
      <c r="G25" s="97" t="s">
        <v>50</v>
      </c>
      <c r="H25" s="97" t="s">
        <v>50</v>
      </c>
      <c r="I25" s="96">
        <f>F25</f>
        <v>0</v>
      </c>
    </row>
    <row r="26" spans="1:9" x14ac:dyDescent="0.25">
      <c r="A26" s="167" t="s">
        <v>776</v>
      </c>
      <c r="B26" s="168"/>
      <c r="C26" s="168"/>
      <c r="D26" s="168"/>
      <c r="E26" s="169"/>
      <c r="F26" s="98">
        <v>0</v>
      </c>
      <c r="G26" s="99" t="s">
        <v>50</v>
      </c>
      <c r="H26" s="99" t="s">
        <v>50</v>
      </c>
      <c r="I26" s="98">
        <f>F26</f>
        <v>0</v>
      </c>
    </row>
    <row r="27" spans="1:9" x14ac:dyDescent="0.25">
      <c r="A27" s="170" t="s">
        <v>804</v>
      </c>
      <c r="B27" s="171"/>
      <c r="C27" s="171"/>
      <c r="D27" s="171"/>
      <c r="E27" s="172"/>
      <c r="F27" s="100" t="s">
        <v>50</v>
      </c>
      <c r="G27" s="101" t="s">
        <v>50</v>
      </c>
      <c r="H27" s="101" t="s">
        <v>50</v>
      </c>
      <c r="I27" s="102">
        <f>SUM(I21:I26)</f>
        <v>0</v>
      </c>
    </row>
    <row r="29" spans="1:9" ht="15.75" x14ac:dyDescent="0.25">
      <c r="A29" s="173" t="s">
        <v>805</v>
      </c>
      <c r="B29" s="174"/>
      <c r="C29" s="174"/>
      <c r="D29" s="174"/>
      <c r="E29" s="175"/>
      <c r="F29" s="176">
        <f>I18+I27</f>
        <v>0</v>
      </c>
      <c r="G29" s="177"/>
      <c r="H29" s="177"/>
      <c r="I29" s="178"/>
    </row>
    <row r="33" spans="1:9" ht="15.75" x14ac:dyDescent="0.25">
      <c r="A33" s="160" t="s">
        <v>806</v>
      </c>
      <c r="B33" s="160"/>
      <c r="C33" s="160"/>
      <c r="D33" s="160"/>
      <c r="E33" s="160"/>
    </row>
    <row r="34" spans="1:9" x14ac:dyDescent="0.25">
      <c r="A34" s="161" t="s">
        <v>807</v>
      </c>
      <c r="B34" s="162"/>
      <c r="C34" s="162"/>
      <c r="D34" s="162"/>
      <c r="E34" s="163"/>
      <c r="F34" s="95" t="s">
        <v>800</v>
      </c>
      <c r="G34" s="95" t="s">
        <v>801</v>
      </c>
      <c r="H34" s="95" t="s">
        <v>802</v>
      </c>
      <c r="I34" s="95" t="s">
        <v>800</v>
      </c>
    </row>
    <row r="35" spans="1:9" x14ac:dyDescent="0.25">
      <c r="A35" s="167" t="s">
        <v>811</v>
      </c>
      <c r="B35" s="168"/>
      <c r="C35" s="168"/>
      <c r="D35" s="168"/>
      <c r="E35" s="169"/>
      <c r="F35" s="99" t="s">
        <v>50</v>
      </c>
      <c r="G35" s="98">
        <v>1.5</v>
      </c>
      <c r="H35" s="98">
        <f>'Krycí list rozpočtu (SO 02)'!C22</f>
        <v>0</v>
      </c>
      <c r="I35" s="98">
        <f>ROUND((G35/100)*H35,2)</f>
        <v>0</v>
      </c>
    </row>
    <row r="36" spans="1:9" x14ac:dyDescent="0.25">
      <c r="A36" s="170" t="s">
        <v>808</v>
      </c>
      <c r="B36" s="171"/>
      <c r="C36" s="171"/>
      <c r="D36" s="171"/>
      <c r="E36" s="172"/>
      <c r="F36" s="100" t="s">
        <v>50</v>
      </c>
      <c r="G36" s="101" t="s">
        <v>50</v>
      </c>
      <c r="H36" s="101" t="s">
        <v>50</v>
      </c>
      <c r="I36" s="102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A10:B11"/>
    <mergeCell ref="C2:D3"/>
    <mergeCell ref="C4:D5"/>
    <mergeCell ref="C6:D7"/>
    <mergeCell ref="C8:D9"/>
    <mergeCell ref="C10:D11"/>
    <mergeCell ref="E8:E9"/>
    <mergeCell ref="E10:E11"/>
    <mergeCell ref="F2:G3"/>
    <mergeCell ref="F4:G5"/>
    <mergeCell ref="F6:G7"/>
    <mergeCell ref="F8:G9"/>
    <mergeCell ref="F10:G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3"/>
  <sheetViews>
    <sheetView workbookViewId="0">
      <pane ySplit="11" topLeftCell="A12" activePane="bottomLeft" state="frozen"/>
      <selection pane="bottomLeft" activeCell="D17" sqref="D17"/>
    </sheetView>
  </sheetViews>
  <sheetFormatPr defaultColWidth="12.140625" defaultRowHeight="15" customHeight="1" x14ac:dyDescent="0.25"/>
  <cols>
    <col min="1" max="2" width="8.5703125" customWidth="1"/>
    <col min="3" max="3" width="71.42578125" customWidth="1"/>
    <col min="4" max="6" width="27.85546875" customWidth="1"/>
    <col min="7" max="7" width="37.140625" customWidth="1"/>
    <col min="8" max="9" width="0" hidden="1" customWidth="1"/>
  </cols>
  <sheetData>
    <row r="1" spans="1:9" ht="54.75" customHeight="1" x14ac:dyDescent="0.25">
      <c r="A1" s="106" t="s">
        <v>743</v>
      </c>
      <c r="B1" s="106"/>
      <c r="C1" s="106"/>
      <c r="D1" s="106"/>
      <c r="E1" s="106"/>
      <c r="F1" s="106"/>
      <c r="G1" s="106"/>
    </row>
    <row r="2" spans="1:9" x14ac:dyDescent="0.25">
      <c r="A2" s="107" t="s">
        <v>1</v>
      </c>
      <c r="B2" s="108"/>
      <c r="C2" s="117" t="str">
        <f>'Stavební rozpočet'!D2</f>
        <v>KD K-trio-Oprava sociálních zařízení a šaten</v>
      </c>
      <c r="D2" s="108" t="s">
        <v>3</v>
      </c>
      <c r="E2" s="108" t="s">
        <v>4</v>
      </c>
      <c r="F2" s="112" t="s">
        <v>5</v>
      </c>
      <c r="G2" s="158" t="str">
        <f>'Stavební rozpočet'!J2</f>
        <v> </v>
      </c>
    </row>
    <row r="3" spans="1:9" ht="15" customHeight="1" x14ac:dyDescent="0.25">
      <c r="A3" s="109"/>
      <c r="B3" s="110"/>
      <c r="C3" s="119"/>
      <c r="D3" s="110"/>
      <c r="E3" s="110"/>
      <c r="F3" s="110"/>
      <c r="G3" s="115"/>
    </row>
    <row r="4" spans="1:9" x14ac:dyDescent="0.25">
      <c r="A4" s="111" t="s">
        <v>7</v>
      </c>
      <c r="B4" s="110"/>
      <c r="C4" s="113" t="str">
        <f>'Stavební rozpočet'!D4</f>
        <v xml:space="preserve"> </v>
      </c>
      <c r="D4" s="110" t="s">
        <v>8</v>
      </c>
      <c r="E4" s="110"/>
      <c r="F4" s="113" t="s">
        <v>9</v>
      </c>
      <c r="G4" s="121" t="str">
        <f>'Stavební rozpočet'!J4</f>
        <v> </v>
      </c>
    </row>
    <row r="5" spans="1:9" ht="15" customHeight="1" x14ac:dyDescent="0.25">
      <c r="A5" s="109"/>
      <c r="B5" s="110"/>
      <c r="C5" s="110"/>
      <c r="D5" s="110"/>
      <c r="E5" s="110"/>
      <c r="F5" s="110"/>
      <c r="G5" s="115"/>
    </row>
    <row r="6" spans="1:9" x14ac:dyDescent="0.25">
      <c r="A6" s="111" t="s">
        <v>10</v>
      </c>
      <c r="B6" s="110"/>
      <c r="C6" s="113" t="str">
        <f>'Stavební rozpočet'!D6</f>
        <v xml:space="preserve"> </v>
      </c>
      <c r="D6" s="110" t="s">
        <v>11</v>
      </c>
      <c r="E6" s="110" t="s">
        <v>4</v>
      </c>
      <c r="F6" s="113" t="s">
        <v>12</v>
      </c>
      <c r="G6" s="121" t="str">
        <f>'Stavební rozpočet'!J6</f>
        <v> </v>
      </c>
    </row>
    <row r="7" spans="1:9" ht="15" customHeight="1" x14ac:dyDescent="0.25">
      <c r="A7" s="109"/>
      <c r="B7" s="110"/>
      <c r="C7" s="110"/>
      <c r="D7" s="110"/>
      <c r="E7" s="110"/>
      <c r="F7" s="110"/>
      <c r="G7" s="115"/>
    </row>
    <row r="8" spans="1:9" x14ac:dyDescent="0.25">
      <c r="A8" s="111" t="s">
        <v>15</v>
      </c>
      <c r="B8" s="110"/>
      <c r="C8" s="113" t="str">
        <f>'Stavební rozpočet'!J8</f>
        <v> </v>
      </c>
      <c r="D8" s="110" t="s">
        <v>14</v>
      </c>
      <c r="E8" s="110"/>
      <c r="F8" s="110" t="s">
        <v>14</v>
      </c>
      <c r="G8" s="121">
        <f>'Stavební rozpočet'!H8</f>
        <v>0</v>
      </c>
    </row>
    <row r="9" spans="1:9" x14ac:dyDescent="0.25">
      <c r="A9" s="156"/>
      <c r="B9" s="157"/>
      <c r="C9" s="157"/>
      <c r="D9" s="157"/>
      <c r="E9" s="157"/>
      <c r="F9" s="157"/>
      <c r="G9" s="159"/>
    </row>
    <row r="10" spans="1:9" x14ac:dyDescent="0.25">
      <c r="A10" s="68" t="s">
        <v>17</v>
      </c>
      <c r="B10" s="69" t="s">
        <v>18</v>
      </c>
      <c r="C10" s="70" t="s">
        <v>744</v>
      </c>
      <c r="D10" s="71" t="s">
        <v>745</v>
      </c>
      <c r="E10" s="71" t="s">
        <v>746</v>
      </c>
      <c r="F10" s="71" t="s">
        <v>747</v>
      </c>
      <c r="G10" s="72" t="s">
        <v>748</v>
      </c>
    </row>
    <row r="11" spans="1:9" x14ac:dyDescent="0.25">
      <c r="A11" s="73" t="s">
        <v>51</v>
      </c>
      <c r="B11" s="74" t="s">
        <v>50</v>
      </c>
      <c r="C11" s="74" t="s">
        <v>52</v>
      </c>
      <c r="D11" s="75">
        <f>ROUND('Stavební rozpočet'!J12,2)</f>
        <v>0</v>
      </c>
      <c r="E11" s="75">
        <f>ROUND('Stavební rozpočet'!K12,2)</f>
        <v>0</v>
      </c>
      <c r="F11" s="75">
        <f>ROUND('Stavební rozpočet'!L12,2)</f>
        <v>0</v>
      </c>
      <c r="G11" s="76">
        <f>'Stavební rozpočet'!O12</f>
        <v>14.643239010999999</v>
      </c>
      <c r="H11" s="77" t="s">
        <v>749</v>
      </c>
      <c r="I11" s="38">
        <f t="shared" ref="I11:I32" si="0">IF(H11="F",0,F11)</f>
        <v>0</v>
      </c>
    </row>
    <row r="12" spans="1:9" x14ac:dyDescent="0.25">
      <c r="A12" s="2" t="s">
        <v>51</v>
      </c>
      <c r="B12" s="3" t="s">
        <v>53</v>
      </c>
      <c r="C12" s="3" t="s">
        <v>54</v>
      </c>
      <c r="D12" s="38">
        <f>ROUND('Stavební rozpočet'!J13,2)</f>
        <v>0</v>
      </c>
      <c r="E12" s="38">
        <f>ROUND('Stavební rozpočet'!K13,2)</f>
        <v>0</v>
      </c>
      <c r="F12" s="38">
        <f>ROUND('Stavební rozpočet'!L13,2)</f>
        <v>0</v>
      </c>
      <c r="G12" s="62">
        <f>'Stavební rozpočet'!O13</f>
        <v>8.0897805550000008</v>
      </c>
      <c r="H12" s="77" t="s">
        <v>750</v>
      </c>
      <c r="I12" s="38">
        <f t="shared" si="0"/>
        <v>0</v>
      </c>
    </row>
    <row r="13" spans="1:9" x14ac:dyDescent="0.25">
      <c r="A13" s="2" t="s">
        <v>51</v>
      </c>
      <c r="B13" s="3" t="s">
        <v>165</v>
      </c>
      <c r="C13" s="3" t="s">
        <v>166</v>
      </c>
      <c r="D13" s="38">
        <f>ROUND('Stavební rozpočet'!J52,2)</f>
        <v>0</v>
      </c>
      <c r="E13" s="38">
        <f>ROUND('Stavební rozpočet'!K52,2)</f>
        <v>0</v>
      </c>
      <c r="F13" s="38">
        <f>ROUND('Stavební rozpočet'!L52,2)</f>
        <v>0</v>
      </c>
      <c r="G13" s="62">
        <f>'Stavební rozpočet'!O52</f>
        <v>1.07</v>
      </c>
      <c r="H13" s="77" t="s">
        <v>750</v>
      </c>
      <c r="I13" s="38">
        <f t="shared" si="0"/>
        <v>0</v>
      </c>
    </row>
    <row r="14" spans="1:9" x14ac:dyDescent="0.25">
      <c r="A14" s="2" t="s">
        <v>51</v>
      </c>
      <c r="B14" s="3" t="s">
        <v>191</v>
      </c>
      <c r="C14" s="3" t="s">
        <v>192</v>
      </c>
      <c r="D14" s="38">
        <f>ROUND('Stavební rozpočet'!J67,2)</f>
        <v>0</v>
      </c>
      <c r="E14" s="38">
        <f>ROUND('Stavební rozpočet'!K67,2)</f>
        <v>0</v>
      </c>
      <c r="F14" s="38">
        <f>ROUND('Stavební rozpočet'!L67,2)</f>
        <v>0</v>
      </c>
      <c r="G14" s="62">
        <f>'Stavební rozpočet'!O67</f>
        <v>0</v>
      </c>
      <c r="H14" s="77" t="s">
        <v>750</v>
      </c>
      <c r="I14" s="38">
        <f t="shared" si="0"/>
        <v>0</v>
      </c>
    </row>
    <row r="15" spans="1:9" x14ac:dyDescent="0.25">
      <c r="A15" s="2" t="s">
        <v>51</v>
      </c>
      <c r="B15" s="3" t="s">
        <v>178</v>
      </c>
      <c r="C15" s="3" t="s">
        <v>197</v>
      </c>
      <c r="D15" s="38">
        <f>ROUND('Stavební rozpočet'!J69,2)</f>
        <v>0</v>
      </c>
      <c r="E15" s="38">
        <f>ROUND('Stavební rozpočet'!K69,2)</f>
        <v>0</v>
      </c>
      <c r="F15" s="38">
        <f>ROUND('Stavební rozpočet'!L69,2)</f>
        <v>0</v>
      </c>
      <c r="G15" s="62">
        <f>'Stavební rozpočet'!O69</f>
        <v>0.57779105999999991</v>
      </c>
      <c r="H15" s="77" t="s">
        <v>750</v>
      </c>
      <c r="I15" s="38">
        <f t="shared" si="0"/>
        <v>0</v>
      </c>
    </row>
    <row r="16" spans="1:9" x14ac:dyDescent="0.25">
      <c r="A16" s="2" t="s">
        <v>51</v>
      </c>
      <c r="B16" s="3" t="s">
        <v>209</v>
      </c>
      <c r="C16" s="3" t="s">
        <v>220</v>
      </c>
      <c r="D16" s="38">
        <f>ROUND('Stavební rozpočet'!J79,2)</f>
        <v>0</v>
      </c>
      <c r="E16" s="38">
        <f>ROUND('Stavební rozpočet'!K79,2)</f>
        <v>0</v>
      </c>
      <c r="F16" s="38">
        <f>ROUND('Stavební rozpočet'!L79,2)</f>
        <v>0</v>
      </c>
      <c r="G16" s="62">
        <f>'Stavební rozpočet'!O79</f>
        <v>0.33975636799999998</v>
      </c>
      <c r="H16" s="77" t="s">
        <v>750</v>
      </c>
      <c r="I16" s="38">
        <f t="shared" si="0"/>
        <v>0</v>
      </c>
    </row>
    <row r="17" spans="1:9" x14ac:dyDescent="0.25">
      <c r="A17" s="2" t="s">
        <v>51</v>
      </c>
      <c r="B17" s="3" t="s">
        <v>232</v>
      </c>
      <c r="C17" s="3" t="s">
        <v>233</v>
      </c>
      <c r="D17" s="38">
        <f>ROUND('Stavební rozpočet'!J85,2)</f>
        <v>0</v>
      </c>
      <c r="E17" s="38">
        <f>ROUND('Stavební rozpočet'!K85,2)</f>
        <v>0</v>
      </c>
      <c r="F17" s="38">
        <f>ROUND('Stavební rozpočet'!L85,2)</f>
        <v>0</v>
      </c>
      <c r="G17" s="62">
        <f>'Stavební rozpočet'!O85</f>
        <v>0.64232860000000003</v>
      </c>
      <c r="H17" s="77" t="s">
        <v>750</v>
      </c>
      <c r="I17" s="38">
        <f t="shared" si="0"/>
        <v>0</v>
      </c>
    </row>
    <row r="18" spans="1:9" x14ac:dyDescent="0.25">
      <c r="A18" s="2" t="s">
        <v>51</v>
      </c>
      <c r="B18" s="3" t="s">
        <v>247</v>
      </c>
      <c r="C18" s="3" t="s">
        <v>248</v>
      </c>
      <c r="D18" s="38">
        <f>ROUND('Stavební rozpočet'!J93,2)</f>
        <v>0</v>
      </c>
      <c r="E18" s="38">
        <f>ROUND('Stavební rozpočet'!K93,2)</f>
        <v>0</v>
      </c>
      <c r="F18" s="38">
        <f>ROUND('Stavební rozpočet'!L93,2)</f>
        <v>0</v>
      </c>
      <c r="G18" s="62">
        <f>'Stavební rozpočet'!O93</f>
        <v>0.30750135000000001</v>
      </c>
      <c r="H18" s="77" t="s">
        <v>750</v>
      </c>
      <c r="I18" s="38">
        <f t="shared" si="0"/>
        <v>0</v>
      </c>
    </row>
    <row r="19" spans="1:9" x14ac:dyDescent="0.25">
      <c r="A19" s="2" t="s">
        <v>51</v>
      </c>
      <c r="B19" s="3" t="s">
        <v>258</v>
      </c>
      <c r="C19" s="3" t="s">
        <v>259</v>
      </c>
      <c r="D19" s="38">
        <f>ROUND('Stavební rozpočet'!J98,2)</f>
        <v>0</v>
      </c>
      <c r="E19" s="38">
        <f>ROUND('Stavební rozpočet'!K98,2)</f>
        <v>0</v>
      </c>
      <c r="F19" s="38">
        <f>ROUND('Stavební rozpočet'!L98,2)</f>
        <v>0</v>
      </c>
      <c r="G19" s="62">
        <f>'Stavební rozpočet'!O98</f>
        <v>7.8581150000000002E-2</v>
      </c>
      <c r="H19" s="77" t="s">
        <v>750</v>
      </c>
      <c r="I19" s="38">
        <f t="shared" si="0"/>
        <v>0</v>
      </c>
    </row>
    <row r="20" spans="1:9" x14ac:dyDescent="0.25">
      <c r="A20" s="2" t="s">
        <v>51</v>
      </c>
      <c r="B20" s="3" t="s">
        <v>274</v>
      </c>
      <c r="C20" s="3" t="s">
        <v>275</v>
      </c>
      <c r="D20" s="38">
        <f>ROUND('Stavební rozpočet'!J105,2)</f>
        <v>0</v>
      </c>
      <c r="E20" s="38">
        <f>ROUND('Stavební rozpočet'!K105,2)</f>
        <v>0</v>
      </c>
      <c r="F20" s="38">
        <f>ROUND('Stavební rozpočet'!L105,2)</f>
        <v>0</v>
      </c>
      <c r="G20" s="62">
        <f>'Stavební rozpočet'!O105</f>
        <v>7.7299999999999999E-3</v>
      </c>
      <c r="H20" s="77" t="s">
        <v>750</v>
      </c>
      <c r="I20" s="38">
        <f t="shared" si="0"/>
        <v>0</v>
      </c>
    </row>
    <row r="21" spans="1:9" x14ac:dyDescent="0.25">
      <c r="A21" s="2" t="s">
        <v>51</v>
      </c>
      <c r="B21" s="3" t="s">
        <v>305</v>
      </c>
      <c r="C21" s="3" t="s">
        <v>306</v>
      </c>
      <c r="D21" s="38">
        <f>ROUND('Stavební rozpočet'!J117,2)</f>
        <v>0</v>
      </c>
      <c r="E21" s="38">
        <f>ROUND('Stavební rozpočet'!K117,2)</f>
        <v>0</v>
      </c>
      <c r="F21" s="38">
        <f>ROUND('Stavební rozpočet'!L117,2)</f>
        <v>0</v>
      </c>
      <c r="G21" s="62">
        <f>'Stavební rozpočet'!O117</f>
        <v>8.7519999999999987E-2</v>
      </c>
      <c r="H21" s="77" t="s">
        <v>750</v>
      </c>
      <c r="I21" s="38">
        <f t="shared" si="0"/>
        <v>0</v>
      </c>
    </row>
    <row r="22" spans="1:9" x14ac:dyDescent="0.25">
      <c r="A22" s="2" t="s">
        <v>51</v>
      </c>
      <c r="B22" s="3" t="s">
        <v>336</v>
      </c>
      <c r="C22" s="3" t="s">
        <v>337</v>
      </c>
      <c r="D22" s="38">
        <f>ROUND('Stavební rozpočet'!J130,2)</f>
        <v>0</v>
      </c>
      <c r="E22" s="38">
        <f>ROUND('Stavební rozpočet'!K130,2)</f>
        <v>0</v>
      </c>
      <c r="F22" s="38">
        <f>ROUND('Stavební rozpočet'!L130,2)</f>
        <v>0</v>
      </c>
      <c r="G22" s="62">
        <f>'Stavební rozpočet'!O130</f>
        <v>0.40906000000000009</v>
      </c>
      <c r="H22" s="77" t="s">
        <v>750</v>
      </c>
      <c r="I22" s="38">
        <f t="shared" si="0"/>
        <v>0</v>
      </c>
    </row>
    <row r="23" spans="1:9" x14ac:dyDescent="0.25">
      <c r="A23" s="2" t="s">
        <v>51</v>
      </c>
      <c r="B23" s="3" t="s">
        <v>423</v>
      </c>
      <c r="C23" s="3" t="s">
        <v>424</v>
      </c>
      <c r="D23" s="38">
        <f>ROUND('Stavební rozpočet'!J171,2)</f>
        <v>0</v>
      </c>
      <c r="E23" s="38">
        <f>ROUND('Stavební rozpočet'!K171,2)</f>
        <v>0</v>
      </c>
      <c r="F23" s="38">
        <f>ROUND('Stavební rozpočet'!L171,2)</f>
        <v>0</v>
      </c>
      <c r="G23" s="62">
        <f>'Stavební rozpočet'!O171</f>
        <v>2.5940000000000001E-2</v>
      </c>
      <c r="H23" s="77" t="s">
        <v>750</v>
      </c>
      <c r="I23" s="38">
        <f t="shared" si="0"/>
        <v>0</v>
      </c>
    </row>
    <row r="24" spans="1:9" x14ac:dyDescent="0.25">
      <c r="A24" s="2" t="s">
        <v>51</v>
      </c>
      <c r="B24" s="3" t="s">
        <v>430</v>
      </c>
      <c r="C24" s="3" t="s">
        <v>431</v>
      </c>
      <c r="D24" s="38">
        <f>ROUND('Stavební rozpočet'!J174,2)</f>
        <v>0</v>
      </c>
      <c r="E24" s="38">
        <f>ROUND('Stavební rozpočet'!K174,2)</f>
        <v>0</v>
      </c>
      <c r="F24" s="38">
        <f>ROUND('Stavební rozpočet'!L174,2)</f>
        <v>0</v>
      </c>
      <c r="G24" s="62">
        <f>'Stavební rozpočet'!O174</f>
        <v>0</v>
      </c>
      <c r="H24" s="77" t="s">
        <v>750</v>
      </c>
      <c r="I24" s="38">
        <f t="shared" si="0"/>
        <v>0</v>
      </c>
    </row>
    <row r="25" spans="1:9" x14ac:dyDescent="0.25">
      <c r="A25" s="2" t="s">
        <v>51</v>
      </c>
      <c r="B25" s="3" t="s">
        <v>435</v>
      </c>
      <c r="C25" s="3" t="s">
        <v>436</v>
      </c>
      <c r="D25" s="38">
        <f>ROUND('Stavební rozpočet'!J176,2)</f>
        <v>0</v>
      </c>
      <c r="E25" s="38">
        <f>ROUND('Stavební rozpočet'!K176,2)</f>
        <v>0</v>
      </c>
      <c r="F25" s="38">
        <f>ROUND('Stavební rozpočet'!L176,2)</f>
        <v>0</v>
      </c>
      <c r="G25" s="62">
        <f>'Stavební rozpočet'!O176</f>
        <v>0.32342399999999999</v>
      </c>
      <c r="H25" s="77" t="s">
        <v>750</v>
      </c>
      <c r="I25" s="38">
        <f t="shared" si="0"/>
        <v>0</v>
      </c>
    </row>
    <row r="26" spans="1:9" x14ac:dyDescent="0.25">
      <c r="A26" s="2" t="s">
        <v>51</v>
      </c>
      <c r="B26" s="3" t="s">
        <v>468</v>
      </c>
      <c r="C26" s="3" t="s">
        <v>469</v>
      </c>
      <c r="D26" s="38">
        <f>ROUND('Stavební rozpočet'!J190,2)</f>
        <v>0</v>
      </c>
      <c r="E26" s="38">
        <f>ROUND('Stavební rozpočet'!K190,2)</f>
        <v>0</v>
      </c>
      <c r="F26" s="38">
        <f>ROUND('Stavební rozpočet'!L190,2)</f>
        <v>0</v>
      </c>
      <c r="G26" s="62">
        <f>'Stavební rozpočet'!O190</f>
        <v>0.49265000000000003</v>
      </c>
      <c r="H26" s="77" t="s">
        <v>750</v>
      </c>
      <c r="I26" s="38">
        <f t="shared" si="0"/>
        <v>0</v>
      </c>
    </row>
    <row r="27" spans="1:9" x14ac:dyDescent="0.25">
      <c r="A27" s="2" t="s">
        <v>51</v>
      </c>
      <c r="B27" s="3" t="s">
        <v>532</v>
      </c>
      <c r="C27" s="3" t="s">
        <v>533</v>
      </c>
      <c r="D27" s="38">
        <f>ROUND('Stavební rozpočet'!J218,2)</f>
        <v>0</v>
      </c>
      <c r="E27" s="38">
        <f>ROUND('Stavební rozpočet'!K218,2)</f>
        <v>0</v>
      </c>
      <c r="F27" s="38">
        <f>ROUND('Stavební rozpočet'!L218,2)</f>
        <v>0</v>
      </c>
      <c r="G27" s="62">
        <f>'Stavební rozpočet'!O218</f>
        <v>0.25465369599999998</v>
      </c>
      <c r="H27" s="77" t="s">
        <v>750</v>
      </c>
      <c r="I27" s="38">
        <f t="shared" si="0"/>
        <v>0</v>
      </c>
    </row>
    <row r="28" spans="1:9" x14ac:dyDescent="0.25">
      <c r="A28" s="2" t="s">
        <v>51</v>
      </c>
      <c r="B28" s="3" t="s">
        <v>549</v>
      </c>
      <c r="C28" s="3" t="s">
        <v>550</v>
      </c>
      <c r="D28" s="38">
        <f>ROUND('Stavební rozpočet'!J224,2)</f>
        <v>0</v>
      </c>
      <c r="E28" s="38">
        <f>ROUND('Stavební rozpočet'!K224,2)</f>
        <v>0</v>
      </c>
      <c r="F28" s="38">
        <f>ROUND('Stavební rozpočet'!L224,2)</f>
        <v>0</v>
      </c>
      <c r="G28" s="62">
        <f>'Stavební rozpočet'!O224</f>
        <v>6.8689280000000005E-2</v>
      </c>
      <c r="H28" s="77" t="s">
        <v>750</v>
      </c>
      <c r="I28" s="38">
        <f t="shared" si="0"/>
        <v>0</v>
      </c>
    </row>
    <row r="29" spans="1:9" x14ac:dyDescent="0.25">
      <c r="A29" s="2" t="s">
        <v>51</v>
      </c>
      <c r="B29" s="3" t="s">
        <v>556</v>
      </c>
      <c r="C29" s="3" t="s">
        <v>557</v>
      </c>
      <c r="D29" s="38">
        <f>ROUND('Stavební rozpočet'!J227,2)</f>
        <v>0</v>
      </c>
      <c r="E29" s="38">
        <f>ROUND('Stavební rozpočet'!K227,2)</f>
        <v>0</v>
      </c>
      <c r="F29" s="38">
        <f>ROUND('Stavební rozpočet'!L227,2)</f>
        <v>0</v>
      </c>
      <c r="G29" s="62">
        <f>'Stavební rozpočet'!O227</f>
        <v>1.6832532</v>
      </c>
      <c r="H29" s="77" t="s">
        <v>750</v>
      </c>
      <c r="I29" s="38">
        <f t="shared" si="0"/>
        <v>0</v>
      </c>
    </row>
    <row r="30" spans="1:9" x14ac:dyDescent="0.25">
      <c r="A30" s="2" t="s">
        <v>51</v>
      </c>
      <c r="B30" s="3" t="s">
        <v>581</v>
      </c>
      <c r="C30" s="3" t="s">
        <v>582</v>
      </c>
      <c r="D30" s="38">
        <f>ROUND('Stavební rozpočet'!J237,2)</f>
        <v>0</v>
      </c>
      <c r="E30" s="38">
        <f>ROUND('Stavební rozpočet'!K237,2)</f>
        <v>0</v>
      </c>
      <c r="F30" s="38">
        <f>ROUND('Stavební rozpočet'!L237,2)</f>
        <v>0</v>
      </c>
      <c r="G30" s="62">
        <f>'Stavební rozpočet'!O237</f>
        <v>1.2032E-3</v>
      </c>
      <c r="H30" s="77" t="s">
        <v>750</v>
      </c>
      <c r="I30" s="38">
        <f t="shared" si="0"/>
        <v>0</v>
      </c>
    </row>
    <row r="31" spans="1:9" x14ac:dyDescent="0.25">
      <c r="A31" s="2" t="s">
        <v>51</v>
      </c>
      <c r="B31" s="3" t="s">
        <v>591</v>
      </c>
      <c r="C31" s="3" t="s">
        <v>592</v>
      </c>
      <c r="D31" s="38">
        <f>ROUND('Stavební rozpočet'!J241,2)</f>
        <v>0</v>
      </c>
      <c r="E31" s="38">
        <f>ROUND('Stavební rozpočet'!K241,2)</f>
        <v>0</v>
      </c>
      <c r="F31" s="38">
        <f>ROUND('Stavební rozpočet'!L241,2)</f>
        <v>0</v>
      </c>
      <c r="G31" s="62">
        <f>'Stavební rozpočet'!O241</f>
        <v>0.132423452</v>
      </c>
      <c r="H31" s="77" t="s">
        <v>750</v>
      </c>
      <c r="I31" s="38">
        <f t="shared" si="0"/>
        <v>0</v>
      </c>
    </row>
    <row r="32" spans="1:9" x14ac:dyDescent="0.25">
      <c r="A32" s="45" t="s">
        <v>51</v>
      </c>
      <c r="B32" s="46" t="s">
        <v>406</v>
      </c>
      <c r="C32" s="46" t="s">
        <v>602</v>
      </c>
      <c r="D32" s="48">
        <f>ROUND('Stavební rozpočet'!J246,2)</f>
        <v>0</v>
      </c>
      <c r="E32" s="48">
        <f>ROUND('Stavební rozpočet'!K246,2)</f>
        <v>0</v>
      </c>
      <c r="F32" s="48">
        <f>ROUND('Stavební rozpočet'!L246,2)</f>
        <v>0</v>
      </c>
      <c r="G32" s="66">
        <f>'Stavební rozpočet'!O246</f>
        <v>5.0953099999999994E-2</v>
      </c>
      <c r="H32" s="77" t="s">
        <v>750</v>
      </c>
      <c r="I32" s="38">
        <f t="shared" si="0"/>
        <v>0</v>
      </c>
    </row>
    <row r="33" spans="5:6" x14ac:dyDescent="0.25">
      <c r="E33" s="51" t="s">
        <v>607</v>
      </c>
      <c r="F33" s="52">
        <f>ROUND(SUM(I11:I32),2)</f>
        <v>0</v>
      </c>
    </row>
  </sheetData>
  <mergeCells count="25">
    <mergeCell ref="G2:G3"/>
    <mergeCell ref="G4:G5"/>
    <mergeCell ref="G6:G7"/>
    <mergeCell ref="G8:G9"/>
    <mergeCell ref="C8:C9"/>
    <mergeCell ref="E2:E3"/>
    <mergeCell ref="E4:E5"/>
    <mergeCell ref="E6:E7"/>
    <mergeCell ref="E8:E9"/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workbookViewId="0">
      <selection activeCell="J13" sqref="J13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05" t="s">
        <v>810</v>
      </c>
      <c r="B1" s="106"/>
      <c r="C1" s="106"/>
      <c r="D1" s="106"/>
      <c r="E1" s="106"/>
      <c r="F1" s="106"/>
      <c r="G1" s="106"/>
      <c r="H1" s="106"/>
      <c r="I1" s="106"/>
    </row>
    <row r="2" spans="1:9" x14ac:dyDescent="0.25">
      <c r="A2" s="107" t="s">
        <v>1</v>
      </c>
      <c r="B2" s="108"/>
      <c r="C2" s="117" t="str">
        <f>'Stavební rozpočet'!D2</f>
        <v>KD K-trio-Oprava sociálních zařízení a šaten</v>
      </c>
      <c r="D2" s="118"/>
      <c r="E2" s="112" t="s">
        <v>5</v>
      </c>
      <c r="F2" s="112" t="str">
        <f>'Stavební rozpočet'!J2</f>
        <v> </v>
      </c>
      <c r="G2" s="108"/>
      <c r="H2" s="112" t="s">
        <v>754</v>
      </c>
      <c r="I2" s="114" t="s">
        <v>50</v>
      </c>
    </row>
    <row r="3" spans="1:9" ht="15" customHeight="1" x14ac:dyDescent="0.25">
      <c r="A3" s="109"/>
      <c r="B3" s="110"/>
      <c r="C3" s="119"/>
      <c r="D3" s="119"/>
      <c r="E3" s="110"/>
      <c r="F3" s="110"/>
      <c r="G3" s="110"/>
      <c r="H3" s="110"/>
      <c r="I3" s="115"/>
    </row>
    <row r="4" spans="1:9" x14ac:dyDescent="0.25">
      <c r="A4" s="111" t="s">
        <v>7</v>
      </c>
      <c r="B4" s="110"/>
      <c r="C4" s="113" t="str">
        <f>'Stavební rozpočet'!D4</f>
        <v xml:space="preserve"> </v>
      </c>
      <c r="D4" s="110"/>
      <c r="E4" s="113" t="s">
        <v>9</v>
      </c>
      <c r="F4" s="113" t="str">
        <f>'Stavební rozpočet'!J4</f>
        <v> </v>
      </c>
      <c r="G4" s="110"/>
      <c r="H4" s="113" t="s">
        <v>754</v>
      </c>
      <c r="I4" s="115" t="s">
        <v>50</v>
      </c>
    </row>
    <row r="5" spans="1:9" ht="15" customHeight="1" x14ac:dyDescent="0.25">
      <c r="A5" s="109"/>
      <c r="B5" s="110"/>
      <c r="C5" s="110"/>
      <c r="D5" s="110"/>
      <c r="E5" s="110"/>
      <c r="F5" s="110"/>
      <c r="G5" s="110"/>
      <c r="H5" s="110"/>
      <c r="I5" s="115"/>
    </row>
    <row r="6" spans="1:9" x14ac:dyDescent="0.25">
      <c r="A6" s="111" t="s">
        <v>10</v>
      </c>
      <c r="B6" s="110"/>
      <c r="C6" s="113" t="str">
        <f>'Stavební rozpočet'!D6</f>
        <v xml:space="preserve"> </v>
      </c>
      <c r="D6" s="110"/>
      <c r="E6" s="113" t="s">
        <v>12</v>
      </c>
      <c r="F6" s="113" t="str">
        <f>'Stavební rozpočet'!J6</f>
        <v> </v>
      </c>
      <c r="G6" s="110"/>
      <c r="H6" s="113" t="s">
        <v>754</v>
      </c>
      <c r="I6" s="115" t="s">
        <v>50</v>
      </c>
    </row>
    <row r="7" spans="1:9" ht="15" customHeight="1" x14ac:dyDescent="0.25">
      <c r="A7" s="109"/>
      <c r="B7" s="110"/>
      <c r="C7" s="110"/>
      <c r="D7" s="110"/>
      <c r="E7" s="110"/>
      <c r="F7" s="110"/>
      <c r="G7" s="110"/>
      <c r="H7" s="110"/>
      <c r="I7" s="115"/>
    </row>
    <row r="8" spans="1:9" x14ac:dyDescent="0.25">
      <c r="A8" s="111" t="s">
        <v>8</v>
      </c>
      <c r="B8" s="110"/>
      <c r="C8" s="113"/>
      <c r="D8" s="110"/>
      <c r="E8" s="113" t="s">
        <v>11</v>
      </c>
      <c r="F8" s="113" t="str">
        <f>'Stavební rozpočet'!H6</f>
        <v xml:space="preserve"> </v>
      </c>
      <c r="G8" s="110"/>
      <c r="H8" s="110" t="s">
        <v>755</v>
      </c>
      <c r="I8" s="116">
        <v>142</v>
      </c>
    </row>
    <row r="9" spans="1:9" x14ac:dyDescent="0.25">
      <c r="A9" s="109"/>
      <c r="B9" s="110"/>
      <c r="C9" s="110"/>
      <c r="D9" s="110"/>
      <c r="E9" s="110"/>
      <c r="F9" s="110"/>
      <c r="G9" s="110"/>
      <c r="H9" s="110"/>
      <c r="I9" s="115"/>
    </row>
    <row r="10" spans="1:9" x14ac:dyDescent="0.25">
      <c r="A10" s="111" t="s">
        <v>13</v>
      </c>
      <c r="B10" s="110"/>
      <c r="C10" s="113" t="str">
        <f>'Stavební rozpočet'!D8</f>
        <v xml:space="preserve"> </v>
      </c>
      <c r="D10" s="110"/>
      <c r="E10" s="113" t="s">
        <v>15</v>
      </c>
      <c r="F10" s="113" t="str">
        <f>'Stavební rozpočet'!J8</f>
        <v> </v>
      </c>
      <c r="G10" s="110"/>
      <c r="H10" s="110" t="s">
        <v>756</v>
      </c>
      <c r="I10" s="121">
        <f>'Stavební rozpočet'!H8</f>
        <v>0</v>
      </c>
    </row>
    <row r="11" spans="1:9" x14ac:dyDescent="0.25">
      <c r="A11" s="126"/>
      <c r="B11" s="120"/>
      <c r="C11" s="120"/>
      <c r="D11" s="120"/>
      <c r="E11" s="120"/>
      <c r="F11" s="120"/>
      <c r="G11" s="120"/>
      <c r="H11" s="120"/>
      <c r="I11" s="122"/>
    </row>
    <row r="13" spans="1:9" ht="15.75" x14ac:dyDescent="0.25">
      <c r="A13" s="160" t="s">
        <v>798</v>
      </c>
      <c r="B13" s="160"/>
      <c r="C13" s="160"/>
      <c r="D13" s="160"/>
      <c r="E13" s="160"/>
    </row>
    <row r="14" spans="1:9" hidden="1" x14ac:dyDescent="0.25">
      <c r="A14" s="161" t="s">
        <v>799</v>
      </c>
      <c r="B14" s="162"/>
      <c r="C14" s="162"/>
      <c r="D14" s="162"/>
      <c r="E14" s="163"/>
      <c r="F14" s="95" t="s">
        <v>800</v>
      </c>
      <c r="G14" s="95" t="s">
        <v>801</v>
      </c>
      <c r="H14" s="95" t="s">
        <v>802</v>
      </c>
      <c r="I14" s="95" t="s">
        <v>800</v>
      </c>
    </row>
    <row r="15" spans="1:9" hidden="1" x14ac:dyDescent="0.25">
      <c r="A15" s="164" t="s">
        <v>766</v>
      </c>
      <c r="B15" s="165"/>
      <c r="C15" s="165"/>
      <c r="D15" s="165"/>
      <c r="E15" s="166"/>
      <c r="F15" s="96">
        <v>0</v>
      </c>
      <c r="G15" s="97" t="s">
        <v>50</v>
      </c>
      <c r="H15" s="97" t="s">
        <v>50</v>
      </c>
      <c r="I15" s="96">
        <f>F15</f>
        <v>0</v>
      </c>
    </row>
    <row r="16" spans="1:9" hidden="1" x14ac:dyDescent="0.25">
      <c r="A16" s="164" t="s">
        <v>768</v>
      </c>
      <c r="B16" s="165"/>
      <c r="C16" s="165"/>
      <c r="D16" s="165"/>
      <c r="E16" s="166"/>
      <c r="F16" s="96">
        <v>0</v>
      </c>
      <c r="G16" s="97" t="s">
        <v>50</v>
      </c>
      <c r="H16" s="97" t="s">
        <v>50</v>
      </c>
      <c r="I16" s="96">
        <f>F16</f>
        <v>0</v>
      </c>
    </row>
    <row r="17" spans="1:9" hidden="1" x14ac:dyDescent="0.25">
      <c r="A17" s="167" t="s">
        <v>771</v>
      </c>
      <c r="B17" s="168"/>
      <c r="C17" s="168"/>
      <c r="D17" s="168"/>
      <c r="E17" s="169"/>
      <c r="F17" s="98">
        <v>0</v>
      </c>
      <c r="G17" s="99" t="s">
        <v>50</v>
      </c>
      <c r="H17" s="99" t="s">
        <v>50</v>
      </c>
      <c r="I17" s="98">
        <f>F17</f>
        <v>0</v>
      </c>
    </row>
    <row r="18" spans="1:9" hidden="1" x14ac:dyDescent="0.25">
      <c r="A18" s="170" t="s">
        <v>803</v>
      </c>
      <c r="B18" s="171"/>
      <c r="C18" s="171"/>
      <c r="D18" s="171"/>
      <c r="E18" s="172"/>
      <c r="F18" s="100" t="s">
        <v>50</v>
      </c>
      <c r="G18" s="101" t="s">
        <v>50</v>
      </c>
      <c r="H18" s="101" t="s">
        <v>50</v>
      </c>
      <c r="I18" s="102">
        <f>SUM(I15:I17)</f>
        <v>0</v>
      </c>
    </row>
    <row r="20" spans="1:9" x14ac:dyDescent="0.25">
      <c r="A20" s="161" t="s">
        <v>763</v>
      </c>
      <c r="B20" s="162"/>
      <c r="C20" s="162"/>
      <c r="D20" s="162"/>
      <c r="E20" s="163"/>
      <c r="F20" s="95" t="s">
        <v>800</v>
      </c>
      <c r="G20" s="95" t="s">
        <v>801</v>
      </c>
      <c r="H20" s="95" t="s">
        <v>802</v>
      </c>
      <c r="I20" s="95" t="s">
        <v>800</v>
      </c>
    </row>
    <row r="21" spans="1:9" x14ac:dyDescent="0.25">
      <c r="A21" s="164" t="s">
        <v>767</v>
      </c>
      <c r="B21" s="165"/>
      <c r="C21" s="165"/>
      <c r="D21" s="165"/>
      <c r="E21" s="166"/>
      <c r="F21" s="97" t="s">
        <v>50</v>
      </c>
      <c r="G21" s="96">
        <v>1</v>
      </c>
      <c r="H21" s="96">
        <f>'Krycí list rozpočtu (SO 01)'!C22</f>
        <v>0</v>
      </c>
      <c r="I21" s="96">
        <f>ROUND((G21/100)*H21,2)</f>
        <v>0</v>
      </c>
    </row>
    <row r="22" spans="1:9" hidden="1" x14ac:dyDescent="0.25">
      <c r="A22" s="164" t="s">
        <v>769</v>
      </c>
      <c r="B22" s="165"/>
      <c r="C22" s="165"/>
      <c r="D22" s="165"/>
      <c r="E22" s="166"/>
      <c r="F22" s="96">
        <v>0</v>
      </c>
      <c r="G22" s="97" t="s">
        <v>50</v>
      </c>
      <c r="H22" s="97" t="s">
        <v>50</v>
      </c>
      <c r="I22" s="96">
        <f>F22</f>
        <v>0</v>
      </c>
    </row>
    <row r="23" spans="1:9" hidden="1" x14ac:dyDescent="0.25">
      <c r="A23" s="164" t="s">
        <v>772</v>
      </c>
      <c r="B23" s="165"/>
      <c r="C23" s="165"/>
      <c r="D23" s="165"/>
      <c r="E23" s="166"/>
      <c r="F23" s="96">
        <v>0</v>
      </c>
      <c r="G23" s="97" t="s">
        <v>50</v>
      </c>
      <c r="H23" s="97" t="s">
        <v>50</v>
      </c>
      <c r="I23" s="96">
        <f>F23</f>
        <v>0</v>
      </c>
    </row>
    <row r="24" spans="1:9" hidden="1" x14ac:dyDescent="0.25">
      <c r="A24" s="164" t="s">
        <v>773</v>
      </c>
      <c r="B24" s="165"/>
      <c r="C24" s="165"/>
      <c r="D24" s="165"/>
      <c r="E24" s="166"/>
      <c r="F24" s="96">
        <v>0</v>
      </c>
      <c r="G24" s="97" t="s">
        <v>50</v>
      </c>
      <c r="H24" s="97" t="s">
        <v>50</v>
      </c>
      <c r="I24" s="96">
        <f>F24</f>
        <v>0</v>
      </c>
    </row>
    <row r="25" spans="1:9" hidden="1" x14ac:dyDescent="0.25">
      <c r="A25" s="164" t="s">
        <v>775</v>
      </c>
      <c r="B25" s="165"/>
      <c r="C25" s="165"/>
      <c r="D25" s="165"/>
      <c r="E25" s="166"/>
      <c r="F25" s="96">
        <v>0</v>
      </c>
      <c r="G25" s="97" t="s">
        <v>50</v>
      </c>
      <c r="H25" s="97" t="s">
        <v>50</v>
      </c>
      <c r="I25" s="96">
        <f>F25</f>
        <v>0</v>
      </c>
    </row>
    <row r="26" spans="1:9" hidden="1" x14ac:dyDescent="0.25">
      <c r="A26" s="167" t="s">
        <v>776</v>
      </c>
      <c r="B26" s="168"/>
      <c r="C26" s="168"/>
      <c r="D26" s="168"/>
      <c r="E26" s="169"/>
      <c r="F26" s="98">
        <v>0</v>
      </c>
      <c r="G26" s="99" t="s">
        <v>50</v>
      </c>
      <c r="H26" s="99" t="s">
        <v>50</v>
      </c>
      <c r="I26" s="98">
        <f>F26</f>
        <v>0</v>
      </c>
    </row>
    <row r="27" spans="1:9" x14ac:dyDescent="0.25">
      <c r="A27" s="170" t="s">
        <v>804</v>
      </c>
      <c r="B27" s="171"/>
      <c r="C27" s="171"/>
      <c r="D27" s="171"/>
      <c r="E27" s="172"/>
      <c r="F27" s="100" t="s">
        <v>50</v>
      </c>
      <c r="G27" s="101" t="s">
        <v>50</v>
      </c>
      <c r="H27" s="101" t="s">
        <v>50</v>
      </c>
      <c r="I27" s="102">
        <f>SUM(I21:I26)</f>
        <v>0</v>
      </c>
    </row>
    <row r="29" spans="1:9" ht="15.75" x14ac:dyDescent="0.25">
      <c r="A29" s="173" t="s">
        <v>805</v>
      </c>
      <c r="B29" s="174"/>
      <c r="C29" s="174"/>
      <c r="D29" s="174"/>
      <c r="E29" s="175"/>
      <c r="F29" s="176">
        <f>I18+I27</f>
        <v>0</v>
      </c>
      <c r="G29" s="177"/>
      <c r="H29" s="177"/>
      <c r="I29" s="178"/>
    </row>
    <row r="33" spans="1:9" ht="15.75" x14ac:dyDescent="0.25">
      <c r="A33" s="160" t="s">
        <v>806</v>
      </c>
      <c r="B33" s="160"/>
      <c r="C33" s="160"/>
      <c r="D33" s="160"/>
      <c r="E33" s="160"/>
    </row>
    <row r="34" spans="1:9" x14ac:dyDescent="0.25">
      <c r="A34" s="161" t="s">
        <v>807</v>
      </c>
      <c r="B34" s="162"/>
      <c r="C34" s="162"/>
      <c r="D34" s="162"/>
      <c r="E34" s="163"/>
      <c r="F34" s="95" t="s">
        <v>800</v>
      </c>
      <c r="G34" s="95" t="s">
        <v>801</v>
      </c>
      <c r="H34" s="95" t="s">
        <v>802</v>
      </c>
      <c r="I34" s="95" t="s">
        <v>800</v>
      </c>
    </row>
    <row r="35" spans="1:9" x14ac:dyDescent="0.25">
      <c r="A35" s="167" t="s">
        <v>811</v>
      </c>
      <c r="B35" s="168"/>
      <c r="C35" s="168"/>
      <c r="D35" s="168"/>
      <c r="E35" s="169"/>
      <c r="F35" s="99" t="s">
        <v>50</v>
      </c>
      <c r="G35" s="98">
        <v>1.5</v>
      </c>
      <c r="H35" s="98">
        <f>'Krycí list rozpočtu (SO 01)'!C22</f>
        <v>0</v>
      </c>
      <c r="I35" s="98">
        <f>ROUND((G35/100)*H35,2)</f>
        <v>0</v>
      </c>
    </row>
    <row r="36" spans="1:9" x14ac:dyDescent="0.25">
      <c r="A36" s="170" t="s">
        <v>808</v>
      </c>
      <c r="B36" s="171"/>
      <c r="C36" s="171"/>
      <c r="D36" s="171"/>
      <c r="E36" s="172"/>
      <c r="F36" s="100" t="s">
        <v>50</v>
      </c>
      <c r="G36" s="101" t="s">
        <v>50</v>
      </c>
      <c r="H36" s="101" t="s">
        <v>50</v>
      </c>
      <c r="I36" s="102">
        <f>SUM(I35:I35)</f>
        <v>0</v>
      </c>
    </row>
  </sheetData>
  <sheetProtection password="E9AE" sheet="1" objects="1" scenarios="1"/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A10:B11"/>
    <mergeCell ref="C2:D3"/>
    <mergeCell ref="C4:D5"/>
    <mergeCell ref="C6:D7"/>
    <mergeCell ref="C8:D9"/>
    <mergeCell ref="C10:D11"/>
    <mergeCell ref="E8:E9"/>
    <mergeCell ref="E10:E11"/>
    <mergeCell ref="F2:G3"/>
    <mergeCell ref="F4:G5"/>
    <mergeCell ref="F6:G7"/>
    <mergeCell ref="F8:G9"/>
    <mergeCell ref="F10:G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Z250"/>
  <sheetViews>
    <sheetView workbookViewId="0">
      <pane ySplit="11" topLeftCell="A185" activePane="bottomLeft" state="frozen"/>
      <selection pane="bottomLeft" activeCell="G186" sqref="G186"/>
    </sheetView>
  </sheetViews>
  <sheetFormatPr defaultColWidth="12.140625" defaultRowHeight="15" customHeight="1" x14ac:dyDescent="0.25"/>
  <cols>
    <col min="1" max="1" width="4" customWidth="1"/>
    <col min="2" max="2" width="7.5703125" customWidth="1"/>
    <col min="3" max="3" width="17.85546875" customWidth="1"/>
    <col min="4" max="4" width="42.85546875" customWidth="1"/>
    <col min="5" max="5" width="35.7109375" customWidth="1"/>
    <col min="6" max="6" width="6.42578125" customWidth="1"/>
    <col min="7" max="7" width="12.85546875" customWidth="1"/>
    <col min="8" max="8" width="12" customWidth="1"/>
    <col min="9" max="9" width="11.140625" customWidth="1"/>
    <col min="10" max="13" width="15.7109375" customWidth="1"/>
    <col min="14" max="15" width="11.7109375" customWidth="1"/>
    <col min="16" max="16" width="13.4257812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 x14ac:dyDescent="0.25">
      <c r="A1" s="106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x14ac:dyDescent="0.25">
      <c r="A2" s="107" t="s">
        <v>1</v>
      </c>
      <c r="B2" s="108"/>
      <c r="C2" s="108"/>
      <c r="D2" s="117" t="s">
        <v>2</v>
      </c>
      <c r="E2" s="118"/>
      <c r="F2" s="108" t="s">
        <v>3</v>
      </c>
      <c r="G2" s="108"/>
      <c r="H2" s="108" t="s">
        <v>4</v>
      </c>
      <c r="I2" s="112" t="s">
        <v>5</v>
      </c>
      <c r="J2" s="108" t="s">
        <v>6</v>
      </c>
      <c r="K2" s="108"/>
      <c r="L2" s="108"/>
      <c r="M2" s="108"/>
      <c r="N2" s="108"/>
      <c r="O2" s="108"/>
      <c r="P2" s="114"/>
    </row>
    <row r="3" spans="1:76" x14ac:dyDescent="0.25">
      <c r="A3" s="109"/>
      <c r="B3" s="110"/>
      <c r="C3" s="110"/>
      <c r="D3" s="119"/>
      <c r="E3" s="119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5"/>
    </row>
    <row r="4" spans="1:76" x14ac:dyDescent="0.25">
      <c r="A4" s="111" t="s">
        <v>7</v>
      </c>
      <c r="B4" s="110"/>
      <c r="C4" s="110"/>
      <c r="D4" s="113" t="s">
        <v>4</v>
      </c>
      <c r="E4" s="110"/>
      <c r="F4" s="110" t="s">
        <v>8</v>
      </c>
      <c r="G4" s="110"/>
      <c r="H4" s="110"/>
      <c r="I4" s="113" t="s">
        <v>9</v>
      </c>
      <c r="J4" s="110" t="s">
        <v>6</v>
      </c>
      <c r="K4" s="110"/>
      <c r="L4" s="110"/>
      <c r="M4" s="110"/>
      <c r="N4" s="110"/>
      <c r="O4" s="110"/>
      <c r="P4" s="115"/>
    </row>
    <row r="5" spans="1:76" x14ac:dyDescent="0.25">
      <c r="A5" s="109"/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5"/>
    </row>
    <row r="6" spans="1:76" x14ac:dyDescent="0.25">
      <c r="A6" s="111" t="s">
        <v>10</v>
      </c>
      <c r="B6" s="110"/>
      <c r="C6" s="110"/>
      <c r="D6" s="113" t="s">
        <v>4</v>
      </c>
      <c r="E6" s="110"/>
      <c r="F6" s="110" t="s">
        <v>11</v>
      </c>
      <c r="G6" s="110"/>
      <c r="H6" s="110" t="s">
        <v>4</v>
      </c>
      <c r="I6" s="113" t="s">
        <v>12</v>
      </c>
      <c r="J6" s="110" t="s">
        <v>6</v>
      </c>
      <c r="K6" s="110"/>
      <c r="L6" s="110"/>
      <c r="M6" s="110"/>
      <c r="N6" s="110"/>
      <c r="O6" s="110"/>
      <c r="P6" s="115"/>
    </row>
    <row r="7" spans="1:76" x14ac:dyDescent="0.25">
      <c r="A7" s="109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5"/>
    </row>
    <row r="8" spans="1:76" x14ac:dyDescent="0.25">
      <c r="A8" s="111" t="s">
        <v>13</v>
      </c>
      <c r="B8" s="110"/>
      <c r="C8" s="110"/>
      <c r="D8" s="113" t="s">
        <v>4</v>
      </c>
      <c r="E8" s="110"/>
      <c r="F8" s="110" t="s">
        <v>14</v>
      </c>
      <c r="G8" s="110"/>
      <c r="H8" s="110"/>
      <c r="I8" s="113" t="s">
        <v>15</v>
      </c>
      <c r="J8" s="110" t="s">
        <v>6</v>
      </c>
      <c r="K8" s="110"/>
      <c r="L8" s="110"/>
      <c r="M8" s="110"/>
      <c r="N8" s="110"/>
      <c r="O8" s="110"/>
      <c r="P8" s="115"/>
    </row>
    <row r="9" spans="1:76" x14ac:dyDescent="0.25">
      <c r="A9" s="156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9"/>
    </row>
    <row r="10" spans="1:76" x14ac:dyDescent="0.25">
      <c r="A10" s="6" t="s">
        <v>16</v>
      </c>
      <c r="B10" s="7" t="s">
        <v>17</v>
      </c>
      <c r="C10" s="7" t="s">
        <v>18</v>
      </c>
      <c r="D10" s="193" t="s">
        <v>19</v>
      </c>
      <c r="E10" s="194"/>
      <c r="F10" s="7" t="s">
        <v>20</v>
      </c>
      <c r="G10" s="8" t="s">
        <v>21</v>
      </c>
      <c r="H10" s="9" t="s">
        <v>22</v>
      </c>
      <c r="I10" s="10" t="s">
        <v>23</v>
      </c>
      <c r="J10" s="184" t="s">
        <v>24</v>
      </c>
      <c r="K10" s="185"/>
      <c r="L10" s="186"/>
      <c r="M10" s="11" t="s">
        <v>24</v>
      </c>
      <c r="N10" s="187" t="s">
        <v>25</v>
      </c>
      <c r="O10" s="188"/>
      <c r="P10" s="12" t="s">
        <v>26</v>
      </c>
      <c r="BK10" s="13" t="s">
        <v>27</v>
      </c>
      <c r="BL10" s="14" t="s">
        <v>28</v>
      </c>
      <c r="BW10" s="14" t="s">
        <v>29</v>
      </c>
    </row>
    <row r="11" spans="1:76" x14ac:dyDescent="0.25">
      <c r="A11" s="15" t="s">
        <v>4</v>
      </c>
      <c r="B11" s="16" t="s">
        <v>4</v>
      </c>
      <c r="C11" s="16" t="s">
        <v>4</v>
      </c>
      <c r="D11" s="182" t="s">
        <v>30</v>
      </c>
      <c r="E11" s="183"/>
      <c r="F11" s="16" t="s">
        <v>4</v>
      </c>
      <c r="G11" s="16" t="s">
        <v>4</v>
      </c>
      <c r="H11" s="17" t="s">
        <v>31</v>
      </c>
      <c r="I11" s="18" t="s">
        <v>4</v>
      </c>
      <c r="J11" s="19" t="s">
        <v>32</v>
      </c>
      <c r="K11" s="20" t="s">
        <v>33</v>
      </c>
      <c r="L11" s="21" t="s">
        <v>34</v>
      </c>
      <c r="M11" s="22" t="s">
        <v>35</v>
      </c>
      <c r="N11" s="23" t="s">
        <v>36</v>
      </c>
      <c r="O11" s="24" t="s">
        <v>34</v>
      </c>
      <c r="P11" s="25" t="s">
        <v>37</v>
      </c>
      <c r="Z11" s="13" t="s">
        <v>38</v>
      </c>
      <c r="AA11" s="13" t="s">
        <v>39</v>
      </c>
      <c r="AB11" s="13" t="s">
        <v>40</v>
      </c>
      <c r="AC11" s="13" t="s">
        <v>41</v>
      </c>
      <c r="AD11" s="13" t="s">
        <v>42</v>
      </c>
      <c r="AE11" s="13" t="s">
        <v>43</v>
      </c>
      <c r="AF11" s="13" t="s">
        <v>44</v>
      </c>
      <c r="AG11" s="13" t="s">
        <v>45</v>
      </c>
      <c r="AH11" s="13" t="s">
        <v>46</v>
      </c>
      <c r="BH11" s="13" t="s">
        <v>47</v>
      </c>
      <c r="BI11" s="13" t="s">
        <v>48</v>
      </c>
      <c r="BJ11" s="13" t="s">
        <v>49</v>
      </c>
    </row>
    <row r="12" spans="1:76" x14ac:dyDescent="0.25">
      <c r="A12" s="26" t="s">
        <v>50</v>
      </c>
      <c r="B12" s="27" t="s">
        <v>51</v>
      </c>
      <c r="C12" s="27" t="s">
        <v>50</v>
      </c>
      <c r="D12" s="189" t="s">
        <v>52</v>
      </c>
      <c r="E12" s="190"/>
      <c r="F12" s="29" t="s">
        <v>4</v>
      </c>
      <c r="G12" s="29" t="s">
        <v>4</v>
      </c>
      <c r="H12" s="29" t="s">
        <v>4</v>
      </c>
      <c r="I12" s="29" t="s">
        <v>4</v>
      </c>
      <c r="J12" s="30">
        <f>J13+J52+J67+J69+J79+J85+J93+J98+J105+J117+J130+J171+J174+J176+J190+J218+J224+J227+J237+J241+J246</f>
        <v>0</v>
      </c>
      <c r="K12" s="30">
        <f>K13+K52+K67+K69+K79+K85+K93+K98+K105+K117+K130+K171+K174+K176+K190+K218+K224+K227+K237+K241+K246</f>
        <v>0</v>
      </c>
      <c r="L12" s="30">
        <f>L13+L52+L67+L69+L79+L85+L93+L98+L105+L117+L130+L171+L174+L176+L190+L218+L224+L227+L237+L241+L246</f>
        <v>0</v>
      </c>
      <c r="M12" s="30">
        <f>M13+M52+M67+M69+M79+M85+M93+M98+M105+M117+M130+M171+M174+M176+M190+M218+M224+M227+M237+M241+M246</f>
        <v>0</v>
      </c>
      <c r="N12" s="31" t="s">
        <v>50</v>
      </c>
      <c r="O12" s="30">
        <f>O13+O52+O67+O69+O79+O85+O93+O98+O105+O117+O130+O171+O174+O176+O190+O218+O224+O227+O237+O241+O246</f>
        <v>14.643239010999999</v>
      </c>
      <c r="P12" s="32" t="s">
        <v>50</v>
      </c>
    </row>
    <row r="13" spans="1:76" x14ac:dyDescent="0.25">
      <c r="A13" s="33" t="s">
        <v>50</v>
      </c>
      <c r="B13" s="34" t="s">
        <v>51</v>
      </c>
      <c r="C13" s="34" t="s">
        <v>53</v>
      </c>
      <c r="D13" s="191" t="s">
        <v>54</v>
      </c>
      <c r="E13" s="192"/>
      <c r="F13" s="36" t="s">
        <v>4</v>
      </c>
      <c r="G13" s="36" t="s">
        <v>4</v>
      </c>
      <c r="H13" s="36" t="s">
        <v>4</v>
      </c>
      <c r="I13" s="36" t="s">
        <v>4</v>
      </c>
      <c r="J13" s="1">
        <f>SUM(J14:J51)</f>
        <v>0</v>
      </c>
      <c r="K13" s="1">
        <f>SUM(K14:K51)</f>
        <v>0</v>
      </c>
      <c r="L13" s="1">
        <f>SUM(L14:L51)</f>
        <v>0</v>
      </c>
      <c r="M13" s="1">
        <f>SUM(M14:M51)</f>
        <v>0</v>
      </c>
      <c r="N13" s="13" t="s">
        <v>50</v>
      </c>
      <c r="O13" s="1">
        <f>SUM(O14:O51)</f>
        <v>8.0897805550000008</v>
      </c>
      <c r="P13" s="37" t="s">
        <v>50</v>
      </c>
      <c r="AI13" s="13" t="s">
        <v>51</v>
      </c>
      <c r="AS13" s="1">
        <f>SUM(AJ14:AJ51)</f>
        <v>0</v>
      </c>
      <c r="AT13" s="1">
        <f>SUM(AK14:AK51)</f>
        <v>0</v>
      </c>
      <c r="AU13" s="1">
        <f>SUM(AL14:AL51)</f>
        <v>0</v>
      </c>
    </row>
    <row r="14" spans="1:76" x14ac:dyDescent="0.25">
      <c r="A14" s="2" t="s">
        <v>55</v>
      </c>
      <c r="B14" s="3" t="s">
        <v>51</v>
      </c>
      <c r="C14" s="3" t="s">
        <v>56</v>
      </c>
      <c r="D14" s="113" t="s">
        <v>57</v>
      </c>
      <c r="E14" s="110"/>
      <c r="F14" s="3" t="s">
        <v>58</v>
      </c>
      <c r="G14" s="38">
        <v>39.027999999999999</v>
      </c>
      <c r="H14" s="103"/>
      <c r="I14" s="39">
        <v>21</v>
      </c>
      <c r="J14" s="38">
        <f>ROUND(G14*AO14,2)</f>
        <v>0</v>
      </c>
      <c r="K14" s="38">
        <f>ROUND(G14*AP14,2)</f>
        <v>0</v>
      </c>
      <c r="L14" s="38">
        <f>ROUND(G14*H14,2)</f>
        <v>0</v>
      </c>
      <c r="M14" s="38">
        <f>L14*(1+BW14/100)</f>
        <v>0</v>
      </c>
      <c r="N14" s="38">
        <v>3.5000000000000001E-3</v>
      </c>
      <c r="O14" s="38">
        <f>G14*N14</f>
        <v>0.136598</v>
      </c>
      <c r="P14" s="40" t="s">
        <v>59</v>
      </c>
      <c r="Z14" s="38">
        <f>ROUND(IF(AQ14="5",BJ14,0),2)</f>
        <v>0</v>
      </c>
      <c r="AB14" s="38">
        <f>ROUND(IF(AQ14="1",BH14,0),2)</f>
        <v>0</v>
      </c>
      <c r="AC14" s="38">
        <f>ROUND(IF(AQ14="1",BI14,0),2)</f>
        <v>0</v>
      </c>
      <c r="AD14" s="38">
        <f>ROUND(IF(AQ14="7",BH14,0),2)</f>
        <v>0</v>
      </c>
      <c r="AE14" s="38">
        <f>ROUND(IF(AQ14="7",BI14,0),2)</f>
        <v>0</v>
      </c>
      <c r="AF14" s="38">
        <f>ROUND(IF(AQ14="2",BH14,0),2)</f>
        <v>0</v>
      </c>
      <c r="AG14" s="38">
        <f>ROUND(IF(AQ14="2",BI14,0),2)</f>
        <v>0</v>
      </c>
      <c r="AH14" s="38">
        <f>ROUND(IF(AQ14="0",BJ14,0),2)</f>
        <v>0</v>
      </c>
      <c r="AI14" s="13" t="s">
        <v>51</v>
      </c>
      <c r="AJ14" s="38">
        <f>IF(AN14=0,L14,0)</f>
        <v>0</v>
      </c>
      <c r="AK14" s="38">
        <f>IF(AN14=12,L14,0)</f>
        <v>0</v>
      </c>
      <c r="AL14" s="38">
        <f>IF(AN14=21,L14,0)</f>
        <v>0</v>
      </c>
      <c r="AN14" s="38">
        <v>21</v>
      </c>
      <c r="AO14" s="38">
        <f>H14*0</f>
        <v>0</v>
      </c>
      <c r="AP14" s="38">
        <f>H14*(1-0)</f>
        <v>0</v>
      </c>
      <c r="AQ14" s="41" t="s">
        <v>55</v>
      </c>
      <c r="AV14" s="38">
        <f>ROUND(AW14+AX14,2)</f>
        <v>0</v>
      </c>
      <c r="AW14" s="38">
        <f>ROUND(G14*AO14,2)</f>
        <v>0</v>
      </c>
      <c r="AX14" s="38">
        <f>ROUND(G14*AP14,2)</f>
        <v>0</v>
      </c>
      <c r="AY14" s="41" t="s">
        <v>60</v>
      </c>
      <c r="AZ14" s="41" t="s">
        <v>61</v>
      </c>
      <c r="BA14" s="13" t="s">
        <v>62</v>
      </c>
      <c r="BC14" s="38">
        <f>AW14+AX14</f>
        <v>0</v>
      </c>
      <c r="BD14" s="38">
        <f>H14/(100-BE14)*100</f>
        <v>0</v>
      </c>
      <c r="BE14" s="38">
        <v>0</v>
      </c>
      <c r="BF14" s="38">
        <f>O14</f>
        <v>0.136598</v>
      </c>
      <c r="BH14" s="38">
        <f>G14*AO14</f>
        <v>0</v>
      </c>
      <c r="BI14" s="38">
        <f>G14*AP14</f>
        <v>0</v>
      </c>
      <c r="BJ14" s="38">
        <f>G14*H14</f>
        <v>0</v>
      </c>
      <c r="BK14" s="38"/>
      <c r="BL14" s="38">
        <v>96</v>
      </c>
      <c r="BW14" s="38">
        <f>I14</f>
        <v>21</v>
      </c>
      <c r="BX14" s="5" t="s">
        <v>57</v>
      </c>
    </row>
    <row r="15" spans="1:76" x14ac:dyDescent="0.25">
      <c r="A15" s="2" t="s">
        <v>63</v>
      </c>
      <c r="B15" s="3" t="s">
        <v>51</v>
      </c>
      <c r="C15" s="3" t="s">
        <v>64</v>
      </c>
      <c r="D15" s="113" t="s">
        <v>65</v>
      </c>
      <c r="E15" s="110"/>
      <c r="F15" s="3" t="s">
        <v>66</v>
      </c>
      <c r="G15" s="38">
        <v>9</v>
      </c>
      <c r="H15" s="103"/>
      <c r="I15" s="39">
        <v>21</v>
      </c>
      <c r="J15" s="38">
        <f>ROUND(G15*AO15,2)</f>
        <v>0</v>
      </c>
      <c r="K15" s="38">
        <f>ROUND(G15*AP15,2)</f>
        <v>0</v>
      </c>
      <c r="L15" s="38">
        <f>ROUND(G15*H15,2)</f>
        <v>0</v>
      </c>
      <c r="M15" s="38">
        <f>L15*(1+BW15/100)</f>
        <v>0</v>
      </c>
      <c r="N15" s="38">
        <v>0</v>
      </c>
      <c r="O15" s="38">
        <f>G15*N15</f>
        <v>0</v>
      </c>
      <c r="P15" s="40" t="s">
        <v>59</v>
      </c>
      <c r="Z15" s="38">
        <f>ROUND(IF(AQ15="5",BJ15,0),2)</f>
        <v>0</v>
      </c>
      <c r="AB15" s="38">
        <f>ROUND(IF(AQ15="1",BH15,0),2)</f>
        <v>0</v>
      </c>
      <c r="AC15" s="38">
        <f>ROUND(IF(AQ15="1",BI15,0),2)</f>
        <v>0</v>
      </c>
      <c r="AD15" s="38">
        <f>ROUND(IF(AQ15="7",BH15,0),2)</f>
        <v>0</v>
      </c>
      <c r="AE15" s="38">
        <f>ROUND(IF(AQ15="7",BI15,0),2)</f>
        <v>0</v>
      </c>
      <c r="AF15" s="38">
        <f>ROUND(IF(AQ15="2",BH15,0),2)</f>
        <v>0</v>
      </c>
      <c r="AG15" s="38">
        <f>ROUND(IF(AQ15="2",BI15,0),2)</f>
        <v>0</v>
      </c>
      <c r="AH15" s="38">
        <f>ROUND(IF(AQ15="0",BJ15,0),2)</f>
        <v>0</v>
      </c>
      <c r="AI15" s="13" t="s">
        <v>51</v>
      </c>
      <c r="AJ15" s="38">
        <f>IF(AN15=0,L15,0)</f>
        <v>0</v>
      </c>
      <c r="AK15" s="38">
        <f>IF(AN15=12,L15,0)</f>
        <v>0</v>
      </c>
      <c r="AL15" s="38">
        <f>IF(AN15=21,L15,0)</f>
        <v>0</v>
      </c>
      <c r="AN15" s="38">
        <v>21</v>
      </c>
      <c r="AO15" s="38">
        <f>H15*0</f>
        <v>0</v>
      </c>
      <c r="AP15" s="38">
        <f>H15*(1-0)</f>
        <v>0</v>
      </c>
      <c r="AQ15" s="41" t="s">
        <v>55</v>
      </c>
      <c r="AV15" s="38">
        <f>ROUND(AW15+AX15,2)</f>
        <v>0</v>
      </c>
      <c r="AW15" s="38">
        <f>ROUND(G15*AO15,2)</f>
        <v>0</v>
      </c>
      <c r="AX15" s="38">
        <f>ROUND(G15*AP15,2)</f>
        <v>0</v>
      </c>
      <c r="AY15" s="41" t="s">
        <v>60</v>
      </c>
      <c r="AZ15" s="41" t="s">
        <v>61</v>
      </c>
      <c r="BA15" s="13" t="s">
        <v>62</v>
      </c>
      <c r="BC15" s="38">
        <f>AW15+AX15</f>
        <v>0</v>
      </c>
      <c r="BD15" s="38">
        <f>H15/(100-BE15)*100</f>
        <v>0</v>
      </c>
      <c r="BE15" s="38">
        <v>0</v>
      </c>
      <c r="BF15" s="38">
        <f>O15</f>
        <v>0</v>
      </c>
      <c r="BH15" s="38">
        <f>G15*AO15</f>
        <v>0</v>
      </c>
      <c r="BI15" s="38">
        <f>G15*AP15</f>
        <v>0</v>
      </c>
      <c r="BJ15" s="38">
        <f>G15*H15</f>
        <v>0</v>
      </c>
      <c r="BK15" s="38"/>
      <c r="BL15" s="38">
        <v>96</v>
      </c>
      <c r="BW15" s="38">
        <f>I15</f>
        <v>21</v>
      </c>
      <c r="BX15" s="5" t="s">
        <v>65</v>
      </c>
    </row>
    <row r="16" spans="1:76" ht="38.25" x14ac:dyDescent="0.25">
      <c r="A16" s="42"/>
      <c r="C16" s="43" t="s">
        <v>67</v>
      </c>
      <c r="D16" s="179" t="s">
        <v>68</v>
      </c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1"/>
      <c r="BX16" s="44" t="s">
        <v>68</v>
      </c>
    </row>
    <row r="17" spans="1:76" x14ac:dyDescent="0.25">
      <c r="A17" s="2" t="s">
        <v>69</v>
      </c>
      <c r="B17" s="3" t="s">
        <v>51</v>
      </c>
      <c r="C17" s="3" t="s">
        <v>70</v>
      </c>
      <c r="D17" s="113" t="s">
        <v>71</v>
      </c>
      <c r="E17" s="110"/>
      <c r="F17" s="3" t="s">
        <v>58</v>
      </c>
      <c r="G17" s="38">
        <v>7.476</v>
      </c>
      <c r="H17" s="103"/>
      <c r="I17" s="39">
        <v>21</v>
      </c>
      <c r="J17" s="38">
        <f>ROUND(G17*AO17,2)</f>
        <v>0</v>
      </c>
      <c r="K17" s="38">
        <f>ROUND(G17*AP17,2)</f>
        <v>0</v>
      </c>
      <c r="L17" s="38">
        <f>ROUND(G17*H17,2)</f>
        <v>0</v>
      </c>
      <c r="M17" s="38">
        <f>L17*(1+BW17/100)</f>
        <v>0</v>
      </c>
      <c r="N17" s="38">
        <v>8.9169999999999999E-2</v>
      </c>
      <c r="O17" s="38">
        <f>G17*N17</f>
        <v>0.66663492000000002</v>
      </c>
      <c r="P17" s="40" t="s">
        <v>59</v>
      </c>
      <c r="Z17" s="38">
        <f>ROUND(IF(AQ17="5",BJ17,0),2)</f>
        <v>0</v>
      </c>
      <c r="AB17" s="38">
        <f>ROUND(IF(AQ17="1",BH17,0),2)</f>
        <v>0</v>
      </c>
      <c r="AC17" s="38">
        <f>ROUND(IF(AQ17="1",BI17,0),2)</f>
        <v>0</v>
      </c>
      <c r="AD17" s="38">
        <f>ROUND(IF(AQ17="7",BH17,0),2)</f>
        <v>0</v>
      </c>
      <c r="AE17" s="38">
        <f>ROUND(IF(AQ17="7",BI17,0),2)</f>
        <v>0</v>
      </c>
      <c r="AF17" s="38">
        <f>ROUND(IF(AQ17="2",BH17,0),2)</f>
        <v>0</v>
      </c>
      <c r="AG17" s="38">
        <f>ROUND(IF(AQ17="2",BI17,0),2)</f>
        <v>0</v>
      </c>
      <c r="AH17" s="38">
        <f>ROUND(IF(AQ17="0",BJ17,0),2)</f>
        <v>0</v>
      </c>
      <c r="AI17" s="13" t="s">
        <v>51</v>
      </c>
      <c r="AJ17" s="38">
        <f>IF(AN17=0,L17,0)</f>
        <v>0</v>
      </c>
      <c r="AK17" s="38">
        <f>IF(AN17=12,L17,0)</f>
        <v>0</v>
      </c>
      <c r="AL17" s="38">
        <f>IF(AN17=21,L17,0)</f>
        <v>0</v>
      </c>
      <c r="AN17" s="38">
        <v>21</v>
      </c>
      <c r="AO17" s="38">
        <f>H17*0.107114104</f>
        <v>0</v>
      </c>
      <c r="AP17" s="38">
        <f>H17*(1-0.107114104)</f>
        <v>0</v>
      </c>
      <c r="AQ17" s="41" t="s">
        <v>55</v>
      </c>
      <c r="AV17" s="38">
        <f>ROUND(AW17+AX17,2)</f>
        <v>0</v>
      </c>
      <c r="AW17" s="38">
        <f>ROUND(G17*AO17,2)</f>
        <v>0</v>
      </c>
      <c r="AX17" s="38">
        <f>ROUND(G17*AP17,2)</f>
        <v>0</v>
      </c>
      <c r="AY17" s="41" t="s">
        <v>60</v>
      </c>
      <c r="AZ17" s="41" t="s">
        <v>61</v>
      </c>
      <c r="BA17" s="13" t="s">
        <v>62</v>
      </c>
      <c r="BC17" s="38">
        <f>AW17+AX17</f>
        <v>0</v>
      </c>
      <c r="BD17" s="38">
        <f>H17/(100-BE17)*100</f>
        <v>0</v>
      </c>
      <c r="BE17" s="38">
        <v>0</v>
      </c>
      <c r="BF17" s="38">
        <f>O17</f>
        <v>0.66663492000000002</v>
      </c>
      <c r="BH17" s="38">
        <f>G17*AO17</f>
        <v>0</v>
      </c>
      <c r="BI17" s="38">
        <f>G17*AP17</f>
        <v>0</v>
      </c>
      <c r="BJ17" s="38">
        <f>G17*H17</f>
        <v>0</v>
      </c>
      <c r="BK17" s="38"/>
      <c r="BL17" s="38">
        <v>96</v>
      </c>
      <c r="BW17" s="38">
        <f>I17</f>
        <v>21</v>
      </c>
      <c r="BX17" s="5" t="s">
        <v>71</v>
      </c>
    </row>
    <row r="18" spans="1:76" ht="38.25" x14ac:dyDescent="0.25">
      <c r="A18" s="42"/>
      <c r="C18" s="43" t="s">
        <v>67</v>
      </c>
      <c r="D18" s="179" t="s">
        <v>72</v>
      </c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1"/>
      <c r="BX18" s="44" t="s">
        <v>72</v>
      </c>
    </row>
    <row r="19" spans="1:76" x14ac:dyDescent="0.25">
      <c r="A19" s="2" t="s">
        <v>73</v>
      </c>
      <c r="B19" s="3" t="s">
        <v>51</v>
      </c>
      <c r="C19" s="3" t="s">
        <v>74</v>
      </c>
      <c r="D19" s="113" t="s">
        <v>75</v>
      </c>
      <c r="E19" s="110"/>
      <c r="F19" s="3" t="s">
        <v>58</v>
      </c>
      <c r="G19" s="38">
        <v>2.4</v>
      </c>
      <c r="H19" s="103"/>
      <c r="I19" s="39">
        <v>21</v>
      </c>
      <c r="J19" s="38">
        <f>ROUND(G19*AO19,2)</f>
        <v>0</v>
      </c>
      <c r="K19" s="38">
        <f>ROUND(G19*AP19,2)</f>
        <v>0</v>
      </c>
      <c r="L19" s="38">
        <f>ROUND(G19*H19,2)</f>
        <v>0</v>
      </c>
      <c r="M19" s="38">
        <f>L19*(1+BW19/100)</f>
        <v>0</v>
      </c>
      <c r="N19" s="38">
        <v>7.7170000000000002E-2</v>
      </c>
      <c r="O19" s="38">
        <f>G19*N19</f>
        <v>0.18520800000000001</v>
      </c>
      <c r="P19" s="40" t="s">
        <v>59</v>
      </c>
      <c r="Z19" s="38">
        <f>ROUND(IF(AQ19="5",BJ19,0),2)</f>
        <v>0</v>
      </c>
      <c r="AB19" s="38">
        <f>ROUND(IF(AQ19="1",BH19,0),2)</f>
        <v>0</v>
      </c>
      <c r="AC19" s="38">
        <f>ROUND(IF(AQ19="1",BI19,0),2)</f>
        <v>0</v>
      </c>
      <c r="AD19" s="38">
        <f>ROUND(IF(AQ19="7",BH19,0),2)</f>
        <v>0</v>
      </c>
      <c r="AE19" s="38">
        <f>ROUND(IF(AQ19="7",BI19,0),2)</f>
        <v>0</v>
      </c>
      <c r="AF19" s="38">
        <f>ROUND(IF(AQ19="2",BH19,0),2)</f>
        <v>0</v>
      </c>
      <c r="AG19" s="38">
        <f>ROUND(IF(AQ19="2",BI19,0),2)</f>
        <v>0</v>
      </c>
      <c r="AH19" s="38">
        <f>ROUND(IF(AQ19="0",BJ19,0),2)</f>
        <v>0</v>
      </c>
      <c r="AI19" s="13" t="s">
        <v>51</v>
      </c>
      <c r="AJ19" s="38">
        <f>IF(AN19=0,L19,0)</f>
        <v>0</v>
      </c>
      <c r="AK19" s="38">
        <f>IF(AN19=12,L19,0)</f>
        <v>0</v>
      </c>
      <c r="AL19" s="38">
        <f>IF(AN19=21,L19,0)</f>
        <v>0</v>
      </c>
      <c r="AN19" s="38">
        <v>21</v>
      </c>
      <c r="AO19" s="38">
        <f>H19*0.066870515</f>
        <v>0</v>
      </c>
      <c r="AP19" s="38">
        <f>H19*(1-0.066870515)</f>
        <v>0</v>
      </c>
      <c r="AQ19" s="41" t="s">
        <v>55</v>
      </c>
      <c r="AV19" s="38">
        <f>ROUND(AW19+AX19,2)</f>
        <v>0</v>
      </c>
      <c r="AW19" s="38">
        <f>ROUND(G19*AO19,2)</f>
        <v>0</v>
      </c>
      <c r="AX19" s="38">
        <f>ROUND(G19*AP19,2)</f>
        <v>0</v>
      </c>
      <c r="AY19" s="41" t="s">
        <v>60</v>
      </c>
      <c r="AZ19" s="41" t="s">
        <v>61</v>
      </c>
      <c r="BA19" s="13" t="s">
        <v>62</v>
      </c>
      <c r="BC19" s="38">
        <f>AW19+AX19</f>
        <v>0</v>
      </c>
      <c r="BD19" s="38">
        <f>H19/(100-BE19)*100</f>
        <v>0</v>
      </c>
      <c r="BE19" s="38">
        <v>0</v>
      </c>
      <c r="BF19" s="38">
        <f>O19</f>
        <v>0.18520800000000001</v>
      </c>
      <c r="BH19" s="38">
        <f>G19*AO19</f>
        <v>0</v>
      </c>
      <c r="BI19" s="38">
        <f>G19*AP19</f>
        <v>0</v>
      </c>
      <c r="BJ19" s="38">
        <f>G19*H19</f>
        <v>0</v>
      </c>
      <c r="BK19" s="38"/>
      <c r="BL19" s="38">
        <v>96</v>
      </c>
      <c r="BW19" s="38">
        <f>I19</f>
        <v>21</v>
      </c>
      <c r="BX19" s="5" t="s">
        <v>75</v>
      </c>
    </row>
    <row r="20" spans="1:76" ht="38.25" x14ac:dyDescent="0.25">
      <c r="A20" s="42"/>
      <c r="C20" s="43" t="s">
        <v>67</v>
      </c>
      <c r="D20" s="179" t="s">
        <v>76</v>
      </c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1"/>
      <c r="BX20" s="44" t="s">
        <v>76</v>
      </c>
    </row>
    <row r="21" spans="1:76" x14ac:dyDescent="0.25">
      <c r="A21" s="2" t="s">
        <v>77</v>
      </c>
      <c r="B21" s="3" t="s">
        <v>51</v>
      </c>
      <c r="C21" s="3" t="s">
        <v>78</v>
      </c>
      <c r="D21" s="113" t="s">
        <v>79</v>
      </c>
      <c r="E21" s="110"/>
      <c r="F21" s="3" t="s">
        <v>58</v>
      </c>
      <c r="G21" s="38">
        <v>1.38</v>
      </c>
      <c r="H21" s="103"/>
      <c r="I21" s="39">
        <v>21</v>
      </c>
      <c r="J21" s="38">
        <f>ROUND(G21*AO21,2)</f>
        <v>0</v>
      </c>
      <c r="K21" s="38">
        <f>ROUND(G21*AP21,2)</f>
        <v>0</v>
      </c>
      <c r="L21" s="38">
        <f>ROUND(G21*H21,2)</f>
        <v>0</v>
      </c>
      <c r="M21" s="38">
        <f>L21*(1+BW21/100)</f>
        <v>0</v>
      </c>
      <c r="N21" s="38">
        <v>5.8999999999999997E-2</v>
      </c>
      <c r="O21" s="38">
        <f>G21*N21</f>
        <v>8.1419999999999992E-2</v>
      </c>
      <c r="P21" s="40" t="s">
        <v>59</v>
      </c>
      <c r="Z21" s="38">
        <f>ROUND(IF(AQ21="5",BJ21,0),2)</f>
        <v>0</v>
      </c>
      <c r="AB21" s="38">
        <f>ROUND(IF(AQ21="1",BH21,0),2)</f>
        <v>0</v>
      </c>
      <c r="AC21" s="38">
        <f>ROUND(IF(AQ21="1",BI21,0),2)</f>
        <v>0</v>
      </c>
      <c r="AD21" s="38">
        <f>ROUND(IF(AQ21="7",BH21,0),2)</f>
        <v>0</v>
      </c>
      <c r="AE21" s="38">
        <f>ROUND(IF(AQ21="7",BI21,0),2)</f>
        <v>0</v>
      </c>
      <c r="AF21" s="38">
        <f>ROUND(IF(AQ21="2",BH21,0),2)</f>
        <v>0</v>
      </c>
      <c r="AG21" s="38">
        <f>ROUND(IF(AQ21="2",BI21,0),2)</f>
        <v>0</v>
      </c>
      <c r="AH21" s="38">
        <f>ROUND(IF(AQ21="0",BJ21,0),2)</f>
        <v>0</v>
      </c>
      <c r="AI21" s="13" t="s">
        <v>51</v>
      </c>
      <c r="AJ21" s="38">
        <f>IF(AN21=0,L21,0)</f>
        <v>0</v>
      </c>
      <c r="AK21" s="38">
        <f>IF(AN21=12,L21,0)</f>
        <v>0</v>
      </c>
      <c r="AL21" s="38">
        <f>IF(AN21=21,L21,0)</f>
        <v>0</v>
      </c>
      <c r="AN21" s="38">
        <v>21</v>
      </c>
      <c r="AO21" s="38">
        <f>H21*0</f>
        <v>0</v>
      </c>
      <c r="AP21" s="38">
        <f>H21*(1-0)</f>
        <v>0</v>
      </c>
      <c r="AQ21" s="41" t="s">
        <v>55</v>
      </c>
      <c r="AV21" s="38">
        <f>ROUND(AW21+AX21,2)</f>
        <v>0</v>
      </c>
      <c r="AW21" s="38">
        <f>ROUND(G21*AO21,2)</f>
        <v>0</v>
      </c>
      <c r="AX21" s="38">
        <f>ROUND(G21*AP21,2)</f>
        <v>0</v>
      </c>
      <c r="AY21" s="41" t="s">
        <v>60</v>
      </c>
      <c r="AZ21" s="41" t="s">
        <v>61</v>
      </c>
      <c r="BA21" s="13" t="s">
        <v>62</v>
      </c>
      <c r="BC21" s="38">
        <f>AW21+AX21</f>
        <v>0</v>
      </c>
      <c r="BD21" s="38">
        <f>H21/(100-BE21)*100</f>
        <v>0</v>
      </c>
      <c r="BE21" s="38">
        <v>0</v>
      </c>
      <c r="BF21" s="38">
        <f>O21</f>
        <v>8.1419999999999992E-2</v>
      </c>
      <c r="BH21" s="38">
        <f>G21*AO21</f>
        <v>0</v>
      </c>
      <c r="BI21" s="38">
        <f>G21*AP21</f>
        <v>0</v>
      </c>
      <c r="BJ21" s="38">
        <f>G21*H21</f>
        <v>0</v>
      </c>
      <c r="BK21" s="38"/>
      <c r="BL21" s="38">
        <v>96</v>
      </c>
      <c r="BW21" s="38">
        <f>I21</f>
        <v>21</v>
      </c>
      <c r="BX21" s="5" t="s">
        <v>79</v>
      </c>
    </row>
    <row r="22" spans="1:76" x14ac:dyDescent="0.25">
      <c r="A22" s="2" t="s">
        <v>80</v>
      </c>
      <c r="B22" s="3" t="s">
        <v>51</v>
      </c>
      <c r="C22" s="3" t="s">
        <v>81</v>
      </c>
      <c r="D22" s="113" t="s">
        <v>82</v>
      </c>
      <c r="E22" s="110"/>
      <c r="F22" s="3" t="s">
        <v>58</v>
      </c>
      <c r="G22" s="38">
        <v>14.0025</v>
      </c>
      <c r="H22" s="103"/>
      <c r="I22" s="39">
        <v>21</v>
      </c>
      <c r="J22" s="38">
        <f>ROUND(G22*AO22,2)</f>
        <v>0</v>
      </c>
      <c r="K22" s="38">
        <f>ROUND(G22*AP22,2)</f>
        <v>0</v>
      </c>
      <c r="L22" s="38">
        <f>ROUND(G22*H22,2)</f>
        <v>0</v>
      </c>
      <c r="M22" s="38">
        <f>L22*(1+BW22/100)</f>
        <v>0</v>
      </c>
      <c r="N22" s="38">
        <v>1.2160000000000001E-2</v>
      </c>
      <c r="O22" s="38">
        <f>G22*N22</f>
        <v>0.17027040000000002</v>
      </c>
      <c r="P22" s="40" t="s">
        <v>59</v>
      </c>
      <c r="Z22" s="38">
        <f>ROUND(IF(AQ22="5",BJ22,0),2)</f>
        <v>0</v>
      </c>
      <c r="AB22" s="38">
        <f>ROUND(IF(AQ22="1",BH22,0),2)</f>
        <v>0</v>
      </c>
      <c r="AC22" s="38">
        <f>ROUND(IF(AQ22="1",BI22,0),2)</f>
        <v>0</v>
      </c>
      <c r="AD22" s="38">
        <f>ROUND(IF(AQ22="7",BH22,0),2)</f>
        <v>0</v>
      </c>
      <c r="AE22" s="38">
        <f>ROUND(IF(AQ22="7",BI22,0),2)</f>
        <v>0</v>
      </c>
      <c r="AF22" s="38">
        <f>ROUND(IF(AQ22="2",BH22,0),2)</f>
        <v>0</v>
      </c>
      <c r="AG22" s="38">
        <f>ROUND(IF(AQ22="2",BI22,0),2)</f>
        <v>0</v>
      </c>
      <c r="AH22" s="38">
        <f>ROUND(IF(AQ22="0",BJ22,0),2)</f>
        <v>0</v>
      </c>
      <c r="AI22" s="13" t="s">
        <v>51</v>
      </c>
      <c r="AJ22" s="38">
        <f>IF(AN22=0,L22,0)</f>
        <v>0</v>
      </c>
      <c r="AK22" s="38">
        <f>IF(AN22=12,L22,0)</f>
        <v>0</v>
      </c>
      <c r="AL22" s="38">
        <f>IF(AN22=21,L22,0)</f>
        <v>0</v>
      </c>
      <c r="AN22" s="38">
        <v>21</v>
      </c>
      <c r="AO22" s="38">
        <f>H22*0.051740973</f>
        <v>0</v>
      </c>
      <c r="AP22" s="38">
        <f>H22*(1-0.051740973)</f>
        <v>0</v>
      </c>
      <c r="AQ22" s="41" t="s">
        <v>55</v>
      </c>
      <c r="AV22" s="38">
        <f>ROUND(AW22+AX22,2)</f>
        <v>0</v>
      </c>
      <c r="AW22" s="38">
        <f>ROUND(G22*AO22,2)</f>
        <v>0</v>
      </c>
      <c r="AX22" s="38">
        <f>ROUND(G22*AP22,2)</f>
        <v>0</v>
      </c>
      <c r="AY22" s="41" t="s">
        <v>60</v>
      </c>
      <c r="AZ22" s="41" t="s">
        <v>61</v>
      </c>
      <c r="BA22" s="13" t="s">
        <v>62</v>
      </c>
      <c r="BC22" s="38">
        <f>AW22+AX22</f>
        <v>0</v>
      </c>
      <c r="BD22" s="38">
        <f>H22/(100-BE22)*100</f>
        <v>0</v>
      </c>
      <c r="BE22" s="38">
        <v>0</v>
      </c>
      <c r="BF22" s="38">
        <f>O22</f>
        <v>0.17027040000000002</v>
      </c>
      <c r="BH22" s="38">
        <f>G22*AO22</f>
        <v>0</v>
      </c>
      <c r="BI22" s="38">
        <f>G22*AP22</f>
        <v>0</v>
      </c>
      <c r="BJ22" s="38">
        <f>G22*H22</f>
        <v>0</v>
      </c>
      <c r="BK22" s="38"/>
      <c r="BL22" s="38">
        <v>96</v>
      </c>
      <c r="BW22" s="38">
        <f>I22</f>
        <v>21</v>
      </c>
      <c r="BX22" s="5" t="s">
        <v>82</v>
      </c>
    </row>
    <row r="23" spans="1:76" ht="25.5" x14ac:dyDescent="0.25">
      <c r="A23" s="42"/>
      <c r="C23" s="43" t="s">
        <v>67</v>
      </c>
      <c r="D23" s="179" t="s">
        <v>83</v>
      </c>
      <c r="E23" s="180"/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1"/>
      <c r="BX23" s="44" t="s">
        <v>83</v>
      </c>
    </row>
    <row r="24" spans="1:76" x14ac:dyDescent="0.25">
      <c r="A24" s="2" t="s">
        <v>84</v>
      </c>
      <c r="B24" s="3" t="s">
        <v>51</v>
      </c>
      <c r="C24" s="3" t="s">
        <v>85</v>
      </c>
      <c r="D24" s="113" t="s">
        <v>86</v>
      </c>
      <c r="E24" s="110"/>
      <c r="F24" s="3" t="s">
        <v>58</v>
      </c>
      <c r="G24" s="38">
        <v>11.842499999999999</v>
      </c>
      <c r="H24" s="103"/>
      <c r="I24" s="39">
        <v>21</v>
      </c>
      <c r="J24" s="38">
        <f>ROUND(G24*AO24,2)</f>
        <v>0</v>
      </c>
      <c r="K24" s="38">
        <f>ROUND(G24*AP24,2)</f>
        <v>0</v>
      </c>
      <c r="L24" s="38">
        <f>ROUND(G24*H24,2)</f>
        <v>0</v>
      </c>
      <c r="M24" s="38">
        <f>L24*(1+BW24/100)</f>
        <v>0</v>
      </c>
      <c r="N24" s="38">
        <v>0.02</v>
      </c>
      <c r="O24" s="38">
        <f>G24*N24</f>
        <v>0.23685</v>
      </c>
      <c r="P24" s="40" t="s">
        <v>59</v>
      </c>
      <c r="Z24" s="38">
        <f>ROUND(IF(AQ24="5",BJ24,0),2)</f>
        <v>0</v>
      </c>
      <c r="AB24" s="38">
        <f>ROUND(IF(AQ24="1",BH24,0),2)</f>
        <v>0</v>
      </c>
      <c r="AC24" s="38">
        <f>ROUND(IF(AQ24="1",BI24,0),2)</f>
        <v>0</v>
      </c>
      <c r="AD24" s="38">
        <f>ROUND(IF(AQ24="7",BH24,0),2)</f>
        <v>0</v>
      </c>
      <c r="AE24" s="38">
        <f>ROUND(IF(AQ24="7",BI24,0),2)</f>
        <v>0</v>
      </c>
      <c r="AF24" s="38">
        <f>ROUND(IF(AQ24="2",BH24,0),2)</f>
        <v>0</v>
      </c>
      <c r="AG24" s="38">
        <f>ROUND(IF(AQ24="2",BI24,0),2)</f>
        <v>0</v>
      </c>
      <c r="AH24" s="38">
        <f>ROUND(IF(AQ24="0",BJ24,0),2)</f>
        <v>0</v>
      </c>
      <c r="AI24" s="13" t="s">
        <v>51</v>
      </c>
      <c r="AJ24" s="38">
        <f>IF(AN24=0,L24,0)</f>
        <v>0</v>
      </c>
      <c r="AK24" s="38">
        <f>IF(AN24=12,L24,0)</f>
        <v>0</v>
      </c>
      <c r="AL24" s="38">
        <f>IF(AN24=21,L24,0)</f>
        <v>0</v>
      </c>
      <c r="AN24" s="38">
        <v>21</v>
      </c>
      <c r="AO24" s="38">
        <f>H24*0</f>
        <v>0</v>
      </c>
      <c r="AP24" s="38">
        <f>H24*(1-0)</f>
        <v>0</v>
      </c>
      <c r="AQ24" s="41" t="s">
        <v>55</v>
      </c>
      <c r="AV24" s="38">
        <f>ROUND(AW24+AX24,2)</f>
        <v>0</v>
      </c>
      <c r="AW24" s="38">
        <f>ROUND(G24*AO24,2)</f>
        <v>0</v>
      </c>
      <c r="AX24" s="38">
        <f>ROUND(G24*AP24,2)</f>
        <v>0</v>
      </c>
      <c r="AY24" s="41" t="s">
        <v>60</v>
      </c>
      <c r="AZ24" s="41" t="s">
        <v>61</v>
      </c>
      <c r="BA24" s="13" t="s">
        <v>62</v>
      </c>
      <c r="BC24" s="38">
        <f>AW24+AX24</f>
        <v>0</v>
      </c>
      <c r="BD24" s="38">
        <f>H24/(100-BE24)*100</f>
        <v>0</v>
      </c>
      <c r="BE24" s="38">
        <v>0</v>
      </c>
      <c r="BF24" s="38">
        <f>O24</f>
        <v>0.23685</v>
      </c>
      <c r="BH24" s="38">
        <f>G24*AO24</f>
        <v>0</v>
      </c>
      <c r="BI24" s="38">
        <f>G24*AP24</f>
        <v>0</v>
      </c>
      <c r="BJ24" s="38">
        <f>G24*H24</f>
        <v>0</v>
      </c>
      <c r="BK24" s="38"/>
      <c r="BL24" s="38">
        <v>96</v>
      </c>
      <c r="BW24" s="38">
        <f>I24</f>
        <v>21</v>
      </c>
      <c r="BX24" s="5" t="s">
        <v>86</v>
      </c>
    </row>
    <row r="25" spans="1:76" ht="13.5" customHeight="1" x14ac:dyDescent="0.25">
      <c r="A25" s="42"/>
      <c r="C25" s="43" t="s">
        <v>87</v>
      </c>
      <c r="D25" s="179" t="s">
        <v>88</v>
      </c>
      <c r="E25" s="180"/>
      <c r="F25" s="180"/>
      <c r="G25" s="180"/>
      <c r="H25" s="180"/>
      <c r="I25" s="180"/>
      <c r="J25" s="180"/>
      <c r="K25" s="180"/>
      <c r="L25" s="180"/>
      <c r="M25" s="180"/>
      <c r="N25" s="180"/>
      <c r="O25" s="180"/>
      <c r="P25" s="181"/>
    </row>
    <row r="26" spans="1:76" ht="38.25" x14ac:dyDescent="0.25">
      <c r="A26" s="42"/>
      <c r="C26" s="43" t="s">
        <v>67</v>
      </c>
      <c r="D26" s="179" t="s">
        <v>89</v>
      </c>
      <c r="E26" s="180"/>
      <c r="F26" s="180"/>
      <c r="G26" s="180"/>
      <c r="H26" s="180"/>
      <c r="I26" s="180"/>
      <c r="J26" s="180"/>
      <c r="K26" s="180"/>
      <c r="L26" s="180"/>
      <c r="M26" s="180"/>
      <c r="N26" s="180"/>
      <c r="O26" s="180"/>
      <c r="P26" s="181"/>
      <c r="BX26" s="44" t="s">
        <v>89</v>
      </c>
    </row>
    <row r="27" spans="1:76" x14ac:dyDescent="0.25">
      <c r="A27" s="2" t="s">
        <v>90</v>
      </c>
      <c r="B27" s="3" t="s">
        <v>51</v>
      </c>
      <c r="C27" s="3" t="s">
        <v>91</v>
      </c>
      <c r="D27" s="113" t="s">
        <v>92</v>
      </c>
      <c r="E27" s="110"/>
      <c r="F27" s="3" t="s">
        <v>58</v>
      </c>
      <c r="G27" s="38">
        <v>11.842499999999999</v>
      </c>
      <c r="H27" s="103"/>
      <c r="I27" s="39">
        <v>21</v>
      </c>
      <c r="J27" s="38">
        <f>ROUND(G27*AO27,2)</f>
        <v>0</v>
      </c>
      <c r="K27" s="38">
        <f>ROUND(G27*AP27,2)</f>
        <v>0</v>
      </c>
      <c r="L27" s="38">
        <f>ROUND(G27*H27,2)</f>
        <v>0</v>
      </c>
      <c r="M27" s="38">
        <f>L27*(1+BW27/100)</f>
        <v>0</v>
      </c>
      <c r="N27" s="38">
        <v>2.5510000000000001E-2</v>
      </c>
      <c r="O27" s="38">
        <f>G27*N27</f>
        <v>0.30210217499999997</v>
      </c>
      <c r="P27" s="40" t="s">
        <v>59</v>
      </c>
      <c r="Z27" s="38">
        <f>ROUND(IF(AQ27="5",BJ27,0),2)</f>
        <v>0</v>
      </c>
      <c r="AB27" s="38">
        <f>ROUND(IF(AQ27="1",BH27,0),2)</f>
        <v>0</v>
      </c>
      <c r="AC27" s="38">
        <f>ROUND(IF(AQ27="1",BI27,0),2)</f>
        <v>0</v>
      </c>
      <c r="AD27" s="38">
        <f>ROUND(IF(AQ27="7",BH27,0),2)</f>
        <v>0</v>
      </c>
      <c r="AE27" s="38">
        <f>ROUND(IF(AQ27="7",BI27,0),2)</f>
        <v>0</v>
      </c>
      <c r="AF27" s="38">
        <f>ROUND(IF(AQ27="2",BH27,0),2)</f>
        <v>0</v>
      </c>
      <c r="AG27" s="38">
        <f>ROUND(IF(AQ27="2",BI27,0),2)</f>
        <v>0</v>
      </c>
      <c r="AH27" s="38">
        <f>ROUND(IF(AQ27="0",BJ27,0),2)</f>
        <v>0</v>
      </c>
      <c r="AI27" s="13" t="s">
        <v>51</v>
      </c>
      <c r="AJ27" s="38">
        <f>IF(AN27=0,L27,0)</f>
        <v>0</v>
      </c>
      <c r="AK27" s="38">
        <f>IF(AN27=12,L27,0)</f>
        <v>0</v>
      </c>
      <c r="AL27" s="38">
        <f>IF(AN27=21,L27,0)</f>
        <v>0</v>
      </c>
      <c r="AN27" s="38">
        <v>21</v>
      </c>
      <c r="AO27" s="38">
        <f>H27*0</f>
        <v>0</v>
      </c>
      <c r="AP27" s="38">
        <f>H27*(1-0)</f>
        <v>0</v>
      </c>
      <c r="AQ27" s="41" t="s">
        <v>55</v>
      </c>
      <c r="AV27" s="38">
        <f>ROUND(AW27+AX27,2)</f>
        <v>0</v>
      </c>
      <c r="AW27" s="38">
        <f>ROUND(G27*AO27,2)</f>
        <v>0</v>
      </c>
      <c r="AX27" s="38">
        <f>ROUND(G27*AP27,2)</f>
        <v>0</v>
      </c>
      <c r="AY27" s="41" t="s">
        <v>60</v>
      </c>
      <c r="AZ27" s="41" t="s">
        <v>61</v>
      </c>
      <c r="BA27" s="13" t="s">
        <v>62</v>
      </c>
      <c r="BC27" s="38">
        <f>AW27+AX27</f>
        <v>0</v>
      </c>
      <c r="BD27" s="38">
        <f>H27/(100-BE27)*100</f>
        <v>0</v>
      </c>
      <c r="BE27" s="38">
        <v>0</v>
      </c>
      <c r="BF27" s="38">
        <f>O27</f>
        <v>0.30210217499999997</v>
      </c>
      <c r="BH27" s="38">
        <f>G27*AO27</f>
        <v>0</v>
      </c>
      <c r="BI27" s="38">
        <f>G27*AP27</f>
        <v>0</v>
      </c>
      <c r="BJ27" s="38">
        <f>G27*H27</f>
        <v>0</v>
      </c>
      <c r="BK27" s="38"/>
      <c r="BL27" s="38">
        <v>96</v>
      </c>
      <c r="BW27" s="38">
        <f>I27</f>
        <v>21</v>
      </c>
      <c r="BX27" s="5" t="s">
        <v>92</v>
      </c>
    </row>
    <row r="28" spans="1:76" x14ac:dyDescent="0.25">
      <c r="A28" s="2" t="s">
        <v>93</v>
      </c>
      <c r="B28" s="3" t="s">
        <v>51</v>
      </c>
      <c r="C28" s="3" t="s">
        <v>94</v>
      </c>
      <c r="D28" s="113" t="s">
        <v>95</v>
      </c>
      <c r="E28" s="110"/>
      <c r="F28" s="3" t="s">
        <v>58</v>
      </c>
      <c r="G28" s="38">
        <v>55.2</v>
      </c>
      <c r="H28" s="103"/>
      <c r="I28" s="39">
        <v>21</v>
      </c>
      <c r="J28" s="38">
        <f>ROUND(G28*AO28,2)</f>
        <v>0</v>
      </c>
      <c r="K28" s="38">
        <f>ROUND(G28*AP28,2)</f>
        <v>0</v>
      </c>
      <c r="L28" s="38">
        <f>ROUND(G28*H28,2)</f>
        <v>0</v>
      </c>
      <c r="M28" s="38">
        <f>L28*(1+BW28/100)</f>
        <v>0</v>
      </c>
      <c r="N28" s="38">
        <v>6.8000000000000005E-2</v>
      </c>
      <c r="O28" s="38">
        <f>G28*N28</f>
        <v>3.7536000000000005</v>
      </c>
      <c r="P28" s="40" t="s">
        <v>59</v>
      </c>
      <c r="Z28" s="38">
        <f>ROUND(IF(AQ28="5",BJ28,0),2)</f>
        <v>0</v>
      </c>
      <c r="AB28" s="38">
        <f>ROUND(IF(AQ28="1",BH28,0),2)</f>
        <v>0</v>
      </c>
      <c r="AC28" s="38">
        <f>ROUND(IF(AQ28="1",BI28,0),2)</f>
        <v>0</v>
      </c>
      <c r="AD28" s="38">
        <f>ROUND(IF(AQ28="7",BH28,0),2)</f>
        <v>0</v>
      </c>
      <c r="AE28" s="38">
        <f>ROUND(IF(AQ28="7",BI28,0),2)</f>
        <v>0</v>
      </c>
      <c r="AF28" s="38">
        <f>ROUND(IF(AQ28="2",BH28,0),2)</f>
        <v>0</v>
      </c>
      <c r="AG28" s="38">
        <f>ROUND(IF(AQ28="2",BI28,0),2)</f>
        <v>0</v>
      </c>
      <c r="AH28" s="38">
        <f>ROUND(IF(AQ28="0",BJ28,0),2)</f>
        <v>0</v>
      </c>
      <c r="AI28" s="13" t="s">
        <v>51</v>
      </c>
      <c r="AJ28" s="38">
        <f>IF(AN28=0,L28,0)</f>
        <v>0</v>
      </c>
      <c r="AK28" s="38">
        <f>IF(AN28=12,L28,0)</f>
        <v>0</v>
      </c>
      <c r="AL28" s="38">
        <f>IF(AN28=21,L28,0)</f>
        <v>0</v>
      </c>
      <c r="AN28" s="38">
        <v>21</v>
      </c>
      <c r="AO28" s="38">
        <f>H28*0</f>
        <v>0</v>
      </c>
      <c r="AP28" s="38">
        <f>H28*(1-0)</f>
        <v>0</v>
      </c>
      <c r="AQ28" s="41" t="s">
        <v>55</v>
      </c>
      <c r="AV28" s="38">
        <f>ROUND(AW28+AX28,2)</f>
        <v>0</v>
      </c>
      <c r="AW28" s="38">
        <f>ROUND(G28*AO28,2)</f>
        <v>0</v>
      </c>
      <c r="AX28" s="38">
        <f>ROUND(G28*AP28,2)</f>
        <v>0</v>
      </c>
      <c r="AY28" s="41" t="s">
        <v>60</v>
      </c>
      <c r="AZ28" s="41" t="s">
        <v>61</v>
      </c>
      <c r="BA28" s="13" t="s">
        <v>62</v>
      </c>
      <c r="BC28" s="38">
        <f>AW28+AX28</f>
        <v>0</v>
      </c>
      <c r="BD28" s="38">
        <f>H28/(100-BE28)*100</f>
        <v>0</v>
      </c>
      <c r="BE28" s="38">
        <v>0</v>
      </c>
      <c r="BF28" s="38">
        <f>O28</f>
        <v>3.7536000000000005</v>
      </c>
      <c r="BH28" s="38">
        <f>G28*AO28</f>
        <v>0</v>
      </c>
      <c r="BI28" s="38">
        <f>G28*AP28</f>
        <v>0</v>
      </c>
      <c r="BJ28" s="38">
        <f>G28*H28</f>
        <v>0</v>
      </c>
      <c r="BK28" s="38"/>
      <c r="BL28" s="38">
        <v>96</v>
      </c>
      <c r="BW28" s="38">
        <f>I28</f>
        <v>21</v>
      </c>
      <c r="BX28" s="5" t="s">
        <v>95</v>
      </c>
    </row>
    <row r="29" spans="1:76" ht="38.25" x14ac:dyDescent="0.25">
      <c r="A29" s="42"/>
      <c r="C29" s="43" t="s">
        <v>67</v>
      </c>
      <c r="D29" s="179" t="s">
        <v>96</v>
      </c>
      <c r="E29" s="180"/>
      <c r="F29" s="180"/>
      <c r="G29" s="180"/>
      <c r="H29" s="180"/>
      <c r="I29" s="180"/>
      <c r="J29" s="180"/>
      <c r="K29" s="180"/>
      <c r="L29" s="180"/>
      <c r="M29" s="180"/>
      <c r="N29" s="180"/>
      <c r="O29" s="180"/>
      <c r="P29" s="181"/>
      <c r="BX29" s="44" t="s">
        <v>96</v>
      </c>
    </row>
    <row r="30" spans="1:76" x14ac:dyDescent="0.25">
      <c r="A30" s="2" t="s">
        <v>97</v>
      </c>
      <c r="B30" s="3" t="s">
        <v>51</v>
      </c>
      <c r="C30" s="3" t="s">
        <v>98</v>
      </c>
      <c r="D30" s="113" t="s">
        <v>99</v>
      </c>
      <c r="E30" s="110"/>
      <c r="F30" s="3" t="s">
        <v>100</v>
      </c>
      <c r="G30" s="38">
        <v>15.2</v>
      </c>
      <c r="H30" s="103"/>
      <c r="I30" s="39">
        <v>21</v>
      </c>
      <c r="J30" s="38">
        <f>ROUND(G30*AO30,2)</f>
        <v>0</v>
      </c>
      <c r="K30" s="38">
        <f>ROUND(G30*AP30,2)</f>
        <v>0</v>
      </c>
      <c r="L30" s="38">
        <f>ROUND(G30*H30,2)</f>
        <v>0</v>
      </c>
      <c r="M30" s="38">
        <f>L30*(1+BW30/100)</f>
        <v>0</v>
      </c>
      <c r="N30" s="38">
        <v>4.6000000000000001E-4</v>
      </c>
      <c r="O30" s="38">
        <f>G30*N30</f>
        <v>6.992E-3</v>
      </c>
      <c r="P30" s="40" t="s">
        <v>59</v>
      </c>
      <c r="Z30" s="38">
        <f>ROUND(IF(AQ30="5",BJ30,0),2)</f>
        <v>0</v>
      </c>
      <c r="AB30" s="38">
        <f>ROUND(IF(AQ30="1",BH30,0),2)</f>
        <v>0</v>
      </c>
      <c r="AC30" s="38">
        <f>ROUND(IF(AQ30="1",BI30,0),2)</f>
        <v>0</v>
      </c>
      <c r="AD30" s="38">
        <f>ROUND(IF(AQ30="7",BH30,0),2)</f>
        <v>0</v>
      </c>
      <c r="AE30" s="38">
        <f>ROUND(IF(AQ30="7",BI30,0),2)</f>
        <v>0</v>
      </c>
      <c r="AF30" s="38">
        <f>ROUND(IF(AQ30="2",BH30,0),2)</f>
        <v>0</v>
      </c>
      <c r="AG30" s="38">
        <f>ROUND(IF(AQ30="2",BI30,0),2)</f>
        <v>0</v>
      </c>
      <c r="AH30" s="38">
        <f>ROUND(IF(AQ30="0",BJ30,0),2)</f>
        <v>0</v>
      </c>
      <c r="AI30" s="13" t="s">
        <v>51</v>
      </c>
      <c r="AJ30" s="38">
        <f>IF(AN30=0,L30,0)</f>
        <v>0</v>
      </c>
      <c r="AK30" s="38">
        <f>IF(AN30=12,L30,0)</f>
        <v>0</v>
      </c>
      <c r="AL30" s="38">
        <f>IF(AN30=21,L30,0)</f>
        <v>0</v>
      </c>
      <c r="AN30" s="38">
        <v>21</v>
      </c>
      <c r="AO30" s="38">
        <f>H30*0.117660557</f>
        <v>0</v>
      </c>
      <c r="AP30" s="38">
        <f>H30*(1-0.117660557)</f>
        <v>0</v>
      </c>
      <c r="AQ30" s="41" t="s">
        <v>55</v>
      </c>
      <c r="AV30" s="38">
        <f>ROUND(AW30+AX30,2)</f>
        <v>0</v>
      </c>
      <c r="AW30" s="38">
        <f>ROUND(G30*AO30,2)</f>
        <v>0</v>
      </c>
      <c r="AX30" s="38">
        <f>ROUND(G30*AP30,2)</f>
        <v>0</v>
      </c>
      <c r="AY30" s="41" t="s">
        <v>60</v>
      </c>
      <c r="AZ30" s="41" t="s">
        <v>61</v>
      </c>
      <c r="BA30" s="13" t="s">
        <v>62</v>
      </c>
      <c r="BC30" s="38">
        <f>AW30+AX30</f>
        <v>0</v>
      </c>
      <c r="BD30" s="38">
        <f>H30/(100-BE30)*100</f>
        <v>0</v>
      </c>
      <c r="BE30" s="38">
        <v>0</v>
      </c>
      <c r="BF30" s="38">
        <f>O30</f>
        <v>6.992E-3</v>
      </c>
      <c r="BH30" s="38">
        <f>G30*AO30</f>
        <v>0</v>
      </c>
      <c r="BI30" s="38">
        <f>G30*AP30</f>
        <v>0</v>
      </c>
      <c r="BJ30" s="38">
        <f>G30*H30</f>
        <v>0</v>
      </c>
      <c r="BK30" s="38"/>
      <c r="BL30" s="38">
        <v>96</v>
      </c>
      <c r="BW30" s="38">
        <f>I30</f>
        <v>21</v>
      </c>
      <c r="BX30" s="5" t="s">
        <v>99</v>
      </c>
    </row>
    <row r="31" spans="1:76" x14ac:dyDescent="0.25">
      <c r="A31" s="2" t="s">
        <v>101</v>
      </c>
      <c r="B31" s="3" t="s">
        <v>51</v>
      </c>
      <c r="C31" s="3" t="s">
        <v>102</v>
      </c>
      <c r="D31" s="113" t="s">
        <v>103</v>
      </c>
      <c r="E31" s="110"/>
      <c r="F31" s="3" t="s">
        <v>58</v>
      </c>
      <c r="G31" s="38">
        <v>11.718</v>
      </c>
      <c r="H31" s="103"/>
      <c r="I31" s="39">
        <v>21</v>
      </c>
      <c r="J31" s="38">
        <f>ROUND(G31*AO31,2)</f>
        <v>0</v>
      </c>
      <c r="K31" s="38">
        <f>ROUND(G31*AP31,2)</f>
        <v>0</v>
      </c>
      <c r="L31" s="38">
        <f>ROUND(G31*H31,2)</f>
        <v>0</v>
      </c>
      <c r="M31" s="38">
        <f>L31*(1+BW31/100)</f>
        <v>0</v>
      </c>
      <c r="N31" s="38">
        <v>0.13367000000000001</v>
      </c>
      <c r="O31" s="38">
        <f>G31*N31</f>
        <v>1.5663450600000002</v>
      </c>
      <c r="P31" s="40" t="s">
        <v>59</v>
      </c>
      <c r="Z31" s="38">
        <f>ROUND(IF(AQ31="5",BJ31,0),2)</f>
        <v>0</v>
      </c>
      <c r="AB31" s="38">
        <f>ROUND(IF(AQ31="1",BH31,0),2)</f>
        <v>0</v>
      </c>
      <c r="AC31" s="38">
        <f>ROUND(IF(AQ31="1",BI31,0),2)</f>
        <v>0</v>
      </c>
      <c r="AD31" s="38">
        <f>ROUND(IF(AQ31="7",BH31,0),2)</f>
        <v>0</v>
      </c>
      <c r="AE31" s="38">
        <f>ROUND(IF(AQ31="7",BI31,0),2)</f>
        <v>0</v>
      </c>
      <c r="AF31" s="38">
        <f>ROUND(IF(AQ31="2",BH31,0),2)</f>
        <v>0</v>
      </c>
      <c r="AG31" s="38">
        <f>ROUND(IF(AQ31="2",BI31,0),2)</f>
        <v>0</v>
      </c>
      <c r="AH31" s="38">
        <f>ROUND(IF(AQ31="0",BJ31,0),2)</f>
        <v>0</v>
      </c>
      <c r="AI31" s="13" t="s">
        <v>51</v>
      </c>
      <c r="AJ31" s="38">
        <f>IF(AN31=0,L31,0)</f>
        <v>0</v>
      </c>
      <c r="AK31" s="38">
        <f>IF(AN31=12,L31,0)</f>
        <v>0</v>
      </c>
      <c r="AL31" s="38">
        <f>IF(AN31=21,L31,0)</f>
        <v>0</v>
      </c>
      <c r="AN31" s="38">
        <v>21</v>
      </c>
      <c r="AO31" s="38">
        <f>H31*0.153596028</f>
        <v>0</v>
      </c>
      <c r="AP31" s="38">
        <f>H31*(1-0.153596028)</f>
        <v>0</v>
      </c>
      <c r="AQ31" s="41" t="s">
        <v>55</v>
      </c>
      <c r="AV31" s="38">
        <f>ROUND(AW31+AX31,2)</f>
        <v>0</v>
      </c>
      <c r="AW31" s="38">
        <f>ROUND(G31*AO31,2)</f>
        <v>0</v>
      </c>
      <c r="AX31" s="38">
        <f>ROUND(G31*AP31,2)</f>
        <v>0</v>
      </c>
      <c r="AY31" s="41" t="s">
        <v>60</v>
      </c>
      <c r="AZ31" s="41" t="s">
        <v>61</v>
      </c>
      <c r="BA31" s="13" t="s">
        <v>62</v>
      </c>
      <c r="BC31" s="38">
        <f>AW31+AX31</f>
        <v>0</v>
      </c>
      <c r="BD31" s="38">
        <f>H31/(100-BE31)*100</f>
        <v>0</v>
      </c>
      <c r="BE31" s="38">
        <v>0</v>
      </c>
      <c r="BF31" s="38">
        <f>O31</f>
        <v>1.5663450600000002</v>
      </c>
      <c r="BH31" s="38">
        <f>G31*AO31</f>
        <v>0</v>
      </c>
      <c r="BI31" s="38">
        <f>G31*AP31</f>
        <v>0</v>
      </c>
      <c r="BJ31" s="38">
        <f>G31*H31</f>
        <v>0</v>
      </c>
      <c r="BK31" s="38"/>
      <c r="BL31" s="38">
        <v>96</v>
      </c>
      <c r="BW31" s="38">
        <f>I31</f>
        <v>21</v>
      </c>
      <c r="BX31" s="5" t="s">
        <v>103</v>
      </c>
    </row>
    <row r="32" spans="1:76" x14ac:dyDescent="0.25">
      <c r="A32" s="2" t="s">
        <v>104</v>
      </c>
      <c r="B32" s="3" t="s">
        <v>51</v>
      </c>
      <c r="C32" s="3" t="s">
        <v>105</v>
      </c>
      <c r="D32" s="113" t="s">
        <v>106</v>
      </c>
      <c r="E32" s="110"/>
      <c r="F32" s="3" t="s">
        <v>100</v>
      </c>
      <c r="G32" s="38">
        <v>20</v>
      </c>
      <c r="H32" s="103"/>
      <c r="I32" s="39">
        <v>21</v>
      </c>
      <c r="J32" s="38">
        <f>ROUND(G32*AO32,2)</f>
        <v>0</v>
      </c>
      <c r="K32" s="38">
        <f>ROUND(G32*AP32,2)</f>
        <v>0</v>
      </c>
      <c r="L32" s="38">
        <f>ROUND(G32*H32,2)</f>
        <v>0</v>
      </c>
      <c r="M32" s="38">
        <f>L32*(1+BW32/100)</f>
        <v>0</v>
      </c>
      <c r="N32" s="38">
        <v>1.949E-2</v>
      </c>
      <c r="O32" s="38">
        <f>G32*N32</f>
        <v>0.38980000000000004</v>
      </c>
      <c r="P32" s="40" t="s">
        <v>59</v>
      </c>
      <c r="Z32" s="38">
        <f>ROUND(IF(AQ32="5",BJ32,0),2)</f>
        <v>0</v>
      </c>
      <c r="AB32" s="38">
        <f>ROUND(IF(AQ32="1",BH32,0),2)</f>
        <v>0</v>
      </c>
      <c r="AC32" s="38">
        <f>ROUND(IF(AQ32="1",BI32,0),2)</f>
        <v>0</v>
      </c>
      <c r="AD32" s="38">
        <f>ROUND(IF(AQ32="7",BH32,0),2)</f>
        <v>0</v>
      </c>
      <c r="AE32" s="38">
        <f>ROUND(IF(AQ32="7",BI32,0),2)</f>
        <v>0</v>
      </c>
      <c r="AF32" s="38">
        <f>ROUND(IF(AQ32="2",BH32,0),2)</f>
        <v>0</v>
      </c>
      <c r="AG32" s="38">
        <f>ROUND(IF(AQ32="2",BI32,0),2)</f>
        <v>0</v>
      </c>
      <c r="AH32" s="38">
        <f>ROUND(IF(AQ32="0",BJ32,0),2)</f>
        <v>0</v>
      </c>
      <c r="AI32" s="13" t="s">
        <v>51</v>
      </c>
      <c r="AJ32" s="38">
        <f>IF(AN32=0,L32,0)</f>
        <v>0</v>
      </c>
      <c r="AK32" s="38">
        <f>IF(AN32=12,L32,0)</f>
        <v>0</v>
      </c>
      <c r="AL32" s="38">
        <f>IF(AN32=21,L32,0)</f>
        <v>0</v>
      </c>
      <c r="AN32" s="38">
        <v>21</v>
      </c>
      <c r="AO32" s="38">
        <f>H32*0.073972885</f>
        <v>0</v>
      </c>
      <c r="AP32" s="38">
        <f>H32*(1-0.073972885)</f>
        <v>0</v>
      </c>
      <c r="AQ32" s="41" t="s">
        <v>55</v>
      </c>
      <c r="AV32" s="38">
        <f>ROUND(AW32+AX32,2)</f>
        <v>0</v>
      </c>
      <c r="AW32" s="38">
        <f>ROUND(G32*AO32,2)</f>
        <v>0</v>
      </c>
      <c r="AX32" s="38">
        <f>ROUND(G32*AP32,2)</f>
        <v>0</v>
      </c>
      <c r="AY32" s="41" t="s">
        <v>60</v>
      </c>
      <c r="AZ32" s="41" t="s">
        <v>61</v>
      </c>
      <c r="BA32" s="13" t="s">
        <v>62</v>
      </c>
      <c r="BC32" s="38">
        <f>AW32+AX32</f>
        <v>0</v>
      </c>
      <c r="BD32" s="38">
        <f>H32/(100-BE32)*100</f>
        <v>0</v>
      </c>
      <c r="BE32" s="38">
        <v>0</v>
      </c>
      <c r="BF32" s="38">
        <f>O32</f>
        <v>0.38980000000000004</v>
      </c>
      <c r="BH32" s="38">
        <f>G32*AO32</f>
        <v>0</v>
      </c>
      <c r="BI32" s="38">
        <f>G32*AP32</f>
        <v>0</v>
      </c>
      <c r="BJ32" s="38">
        <f>G32*H32</f>
        <v>0</v>
      </c>
      <c r="BK32" s="38"/>
      <c r="BL32" s="38">
        <v>96</v>
      </c>
      <c r="BW32" s="38">
        <f>I32</f>
        <v>21</v>
      </c>
      <c r="BX32" s="5" t="s">
        <v>106</v>
      </c>
    </row>
    <row r="33" spans="1:76" ht="38.25" x14ac:dyDescent="0.25">
      <c r="A33" s="42"/>
      <c r="C33" s="43" t="s">
        <v>67</v>
      </c>
      <c r="D33" s="179" t="s">
        <v>107</v>
      </c>
      <c r="E33" s="180"/>
      <c r="F33" s="180"/>
      <c r="G33" s="180"/>
      <c r="H33" s="180"/>
      <c r="I33" s="180"/>
      <c r="J33" s="180"/>
      <c r="K33" s="180"/>
      <c r="L33" s="180"/>
      <c r="M33" s="180"/>
      <c r="N33" s="180"/>
      <c r="O33" s="180"/>
      <c r="P33" s="181"/>
      <c r="BX33" s="44" t="s">
        <v>107</v>
      </c>
    </row>
    <row r="34" spans="1:76" x14ac:dyDescent="0.25">
      <c r="A34" s="2" t="s">
        <v>108</v>
      </c>
      <c r="B34" s="3" t="s">
        <v>51</v>
      </c>
      <c r="C34" s="3" t="s">
        <v>109</v>
      </c>
      <c r="D34" s="113" t="s">
        <v>110</v>
      </c>
      <c r="E34" s="110"/>
      <c r="F34" s="3" t="s">
        <v>66</v>
      </c>
      <c r="G34" s="38">
        <v>12</v>
      </c>
      <c r="H34" s="103"/>
      <c r="I34" s="39">
        <v>21</v>
      </c>
      <c r="J34" s="38">
        <f t="shared" ref="J34:J51" si="0">ROUND(G34*AO34,2)</f>
        <v>0</v>
      </c>
      <c r="K34" s="38">
        <f t="shared" ref="K34:K51" si="1">ROUND(G34*AP34,2)</f>
        <v>0</v>
      </c>
      <c r="L34" s="38">
        <f t="shared" ref="L34:L51" si="2">ROUND(G34*H34,2)</f>
        <v>0</v>
      </c>
      <c r="M34" s="38">
        <f t="shared" ref="M34:M51" si="3">L34*(1+BW34/100)</f>
        <v>0</v>
      </c>
      <c r="N34" s="38">
        <v>4.8999999999999998E-3</v>
      </c>
      <c r="O34" s="38">
        <f t="shared" ref="O34:O51" si="4">G34*N34</f>
        <v>5.8799999999999998E-2</v>
      </c>
      <c r="P34" s="40" t="s">
        <v>59</v>
      </c>
      <c r="Z34" s="38">
        <f t="shared" ref="Z34:Z51" si="5">ROUND(IF(AQ34="5",BJ34,0),2)</f>
        <v>0</v>
      </c>
      <c r="AB34" s="38">
        <f t="shared" ref="AB34:AB51" si="6">ROUND(IF(AQ34="1",BH34,0),2)</f>
        <v>0</v>
      </c>
      <c r="AC34" s="38">
        <f t="shared" ref="AC34:AC51" si="7">ROUND(IF(AQ34="1",BI34,0),2)</f>
        <v>0</v>
      </c>
      <c r="AD34" s="38">
        <f t="shared" ref="AD34:AD51" si="8">ROUND(IF(AQ34="7",BH34,0),2)</f>
        <v>0</v>
      </c>
      <c r="AE34" s="38">
        <f t="shared" ref="AE34:AE51" si="9">ROUND(IF(AQ34="7",BI34,0),2)</f>
        <v>0</v>
      </c>
      <c r="AF34" s="38">
        <f t="shared" ref="AF34:AF51" si="10">ROUND(IF(AQ34="2",BH34,0),2)</f>
        <v>0</v>
      </c>
      <c r="AG34" s="38">
        <f t="shared" ref="AG34:AG51" si="11">ROUND(IF(AQ34="2",BI34,0),2)</f>
        <v>0</v>
      </c>
      <c r="AH34" s="38">
        <f t="shared" ref="AH34:AH51" si="12">ROUND(IF(AQ34="0",BJ34,0),2)</f>
        <v>0</v>
      </c>
      <c r="AI34" s="13" t="s">
        <v>51</v>
      </c>
      <c r="AJ34" s="38">
        <f t="shared" ref="AJ34:AJ51" si="13">IF(AN34=0,L34,0)</f>
        <v>0</v>
      </c>
      <c r="AK34" s="38">
        <f t="shared" ref="AK34:AK51" si="14">IF(AN34=12,L34,0)</f>
        <v>0</v>
      </c>
      <c r="AL34" s="38">
        <f t="shared" ref="AL34:AL51" si="15">IF(AN34=21,L34,0)</f>
        <v>0</v>
      </c>
      <c r="AN34" s="38">
        <v>21</v>
      </c>
      <c r="AO34" s="38">
        <f>H34*0</f>
        <v>0</v>
      </c>
      <c r="AP34" s="38">
        <f>H34*(1-0)</f>
        <v>0</v>
      </c>
      <c r="AQ34" s="41" t="s">
        <v>55</v>
      </c>
      <c r="AV34" s="38">
        <f t="shared" ref="AV34:AV51" si="16">ROUND(AW34+AX34,2)</f>
        <v>0</v>
      </c>
      <c r="AW34" s="38">
        <f t="shared" ref="AW34:AW51" si="17">ROUND(G34*AO34,2)</f>
        <v>0</v>
      </c>
      <c r="AX34" s="38">
        <f t="shared" ref="AX34:AX51" si="18">ROUND(G34*AP34,2)</f>
        <v>0</v>
      </c>
      <c r="AY34" s="41" t="s">
        <v>60</v>
      </c>
      <c r="AZ34" s="41" t="s">
        <v>61</v>
      </c>
      <c r="BA34" s="13" t="s">
        <v>62</v>
      </c>
      <c r="BC34" s="38">
        <f t="shared" ref="BC34:BC51" si="19">AW34+AX34</f>
        <v>0</v>
      </c>
      <c r="BD34" s="38">
        <f t="shared" ref="BD34:BD51" si="20">H34/(100-BE34)*100</f>
        <v>0</v>
      </c>
      <c r="BE34" s="38">
        <v>0</v>
      </c>
      <c r="BF34" s="38">
        <f t="shared" ref="BF34:BF51" si="21">O34</f>
        <v>5.8799999999999998E-2</v>
      </c>
      <c r="BH34" s="38">
        <f t="shared" ref="BH34:BH51" si="22">G34*AO34</f>
        <v>0</v>
      </c>
      <c r="BI34" s="38">
        <f t="shared" ref="BI34:BI51" si="23">G34*AP34</f>
        <v>0</v>
      </c>
      <c r="BJ34" s="38">
        <f t="shared" ref="BJ34:BJ51" si="24">G34*H34</f>
        <v>0</v>
      </c>
      <c r="BK34" s="38"/>
      <c r="BL34" s="38">
        <v>96</v>
      </c>
      <c r="BW34" s="38">
        <f t="shared" ref="BW34:BW51" si="25">I34</f>
        <v>21</v>
      </c>
      <c r="BX34" s="5" t="s">
        <v>110</v>
      </c>
    </row>
    <row r="35" spans="1:76" x14ac:dyDescent="0.25">
      <c r="A35" s="2" t="s">
        <v>111</v>
      </c>
      <c r="B35" s="3" t="s">
        <v>51</v>
      </c>
      <c r="C35" s="3" t="s">
        <v>112</v>
      </c>
      <c r="D35" s="113" t="s">
        <v>113</v>
      </c>
      <c r="E35" s="110"/>
      <c r="F35" s="3" t="s">
        <v>66</v>
      </c>
      <c r="G35" s="38">
        <v>4</v>
      </c>
      <c r="H35" s="103"/>
      <c r="I35" s="39">
        <v>21</v>
      </c>
      <c r="J35" s="38">
        <f t="shared" si="0"/>
        <v>0</v>
      </c>
      <c r="K35" s="38">
        <f t="shared" si="1"/>
        <v>0</v>
      </c>
      <c r="L35" s="38">
        <f t="shared" si="2"/>
        <v>0</v>
      </c>
      <c r="M35" s="38">
        <f t="shared" si="3"/>
        <v>0</v>
      </c>
      <c r="N35" s="38">
        <v>4.8999999999999998E-3</v>
      </c>
      <c r="O35" s="38">
        <f t="shared" si="4"/>
        <v>1.9599999999999999E-2</v>
      </c>
      <c r="P35" s="40" t="s">
        <v>114</v>
      </c>
      <c r="Z35" s="38">
        <f t="shared" si="5"/>
        <v>0</v>
      </c>
      <c r="AB35" s="38">
        <f t="shared" si="6"/>
        <v>0</v>
      </c>
      <c r="AC35" s="38">
        <f t="shared" si="7"/>
        <v>0</v>
      </c>
      <c r="AD35" s="38">
        <f t="shared" si="8"/>
        <v>0</v>
      </c>
      <c r="AE35" s="38">
        <f t="shared" si="9"/>
        <v>0</v>
      </c>
      <c r="AF35" s="38">
        <f t="shared" si="10"/>
        <v>0</v>
      </c>
      <c r="AG35" s="38">
        <f t="shared" si="11"/>
        <v>0</v>
      </c>
      <c r="AH35" s="38">
        <f t="shared" si="12"/>
        <v>0</v>
      </c>
      <c r="AI35" s="13" t="s">
        <v>51</v>
      </c>
      <c r="AJ35" s="38">
        <f t="shared" si="13"/>
        <v>0</v>
      </c>
      <c r="AK35" s="38">
        <f t="shared" si="14"/>
        <v>0</v>
      </c>
      <c r="AL35" s="38">
        <f t="shared" si="15"/>
        <v>0</v>
      </c>
      <c r="AN35" s="38">
        <v>21</v>
      </c>
      <c r="AO35" s="38">
        <f>H35*0</f>
        <v>0</v>
      </c>
      <c r="AP35" s="38">
        <f>H35*(1-0)</f>
        <v>0</v>
      </c>
      <c r="AQ35" s="41" t="s">
        <v>55</v>
      </c>
      <c r="AV35" s="38">
        <f t="shared" si="16"/>
        <v>0</v>
      </c>
      <c r="AW35" s="38">
        <f t="shared" si="17"/>
        <v>0</v>
      </c>
      <c r="AX35" s="38">
        <f t="shared" si="18"/>
        <v>0</v>
      </c>
      <c r="AY35" s="41" t="s">
        <v>60</v>
      </c>
      <c r="AZ35" s="41" t="s">
        <v>61</v>
      </c>
      <c r="BA35" s="13" t="s">
        <v>62</v>
      </c>
      <c r="BC35" s="38">
        <f t="shared" si="19"/>
        <v>0</v>
      </c>
      <c r="BD35" s="38">
        <f t="shared" si="20"/>
        <v>0</v>
      </c>
      <c r="BE35" s="38">
        <v>0</v>
      </c>
      <c r="BF35" s="38">
        <f t="shared" si="21"/>
        <v>1.9599999999999999E-2</v>
      </c>
      <c r="BH35" s="38">
        <f t="shared" si="22"/>
        <v>0</v>
      </c>
      <c r="BI35" s="38">
        <f t="shared" si="23"/>
        <v>0</v>
      </c>
      <c r="BJ35" s="38">
        <f t="shared" si="24"/>
        <v>0</v>
      </c>
      <c r="BK35" s="38"/>
      <c r="BL35" s="38">
        <v>96</v>
      </c>
      <c r="BW35" s="38">
        <f t="shared" si="25"/>
        <v>21</v>
      </c>
      <c r="BX35" s="5" t="s">
        <v>113</v>
      </c>
    </row>
    <row r="36" spans="1:76" x14ac:dyDescent="0.25">
      <c r="A36" s="2" t="s">
        <v>115</v>
      </c>
      <c r="B36" s="3" t="s">
        <v>51</v>
      </c>
      <c r="C36" s="3" t="s">
        <v>116</v>
      </c>
      <c r="D36" s="113" t="s">
        <v>117</v>
      </c>
      <c r="E36" s="110"/>
      <c r="F36" s="3" t="s">
        <v>118</v>
      </c>
      <c r="G36" s="38">
        <v>2</v>
      </c>
      <c r="H36" s="103"/>
      <c r="I36" s="39">
        <v>21</v>
      </c>
      <c r="J36" s="38">
        <f t="shared" si="0"/>
        <v>0</v>
      </c>
      <c r="K36" s="38">
        <f t="shared" si="1"/>
        <v>0</v>
      </c>
      <c r="L36" s="38">
        <f t="shared" si="2"/>
        <v>0</v>
      </c>
      <c r="M36" s="38">
        <f t="shared" si="3"/>
        <v>0</v>
      </c>
      <c r="N36" s="38">
        <v>8.7999999999999995E-2</v>
      </c>
      <c r="O36" s="38">
        <f t="shared" si="4"/>
        <v>0.17599999999999999</v>
      </c>
      <c r="P36" s="40" t="s">
        <v>114</v>
      </c>
      <c r="Z36" s="38">
        <f t="shared" si="5"/>
        <v>0</v>
      </c>
      <c r="AB36" s="38">
        <f t="shared" si="6"/>
        <v>0</v>
      </c>
      <c r="AC36" s="38">
        <f t="shared" si="7"/>
        <v>0</v>
      </c>
      <c r="AD36" s="38">
        <f t="shared" si="8"/>
        <v>0</v>
      </c>
      <c r="AE36" s="38">
        <f t="shared" si="9"/>
        <v>0</v>
      </c>
      <c r="AF36" s="38">
        <f t="shared" si="10"/>
        <v>0</v>
      </c>
      <c r="AG36" s="38">
        <f t="shared" si="11"/>
        <v>0</v>
      </c>
      <c r="AH36" s="38">
        <f t="shared" si="12"/>
        <v>0</v>
      </c>
      <c r="AI36" s="13" t="s">
        <v>51</v>
      </c>
      <c r="AJ36" s="38">
        <f t="shared" si="13"/>
        <v>0</v>
      </c>
      <c r="AK36" s="38">
        <f t="shared" si="14"/>
        <v>0</v>
      </c>
      <c r="AL36" s="38">
        <f t="shared" si="15"/>
        <v>0</v>
      </c>
      <c r="AN36" s="38">
        <v>21</v>
      </c>
      <c r="AO36" s="38">
        <f>H36*0</f>
        <v>0</v>
      </c>
      <c r="AP36" s="38">
        <f>H36*(1-0)</f>
        <v>0</v>
      </c>
      <c r="AQ36" s="41" t="s">
        <v>55</v>
      </c>
      <c r="AV36" s="38">
        <f t="shared" si="16"/>
        <v>0</v>
      </c>
      <c r="AW36" s="38">
        <f t="shared" si="17"/>
        <v>0</v>
      </c>
      <c r="AX36" s="38">
        <f t="shared" si="18"/>
        <v>0</v>
      </c>
      <c r="AY36" s="41" t="s">
        <v>60</v>
      </c>
      <c r="AZ36" s="41" t="s">
        <v>61</v>
      </c>
      <c r="BA36" s="13" t="s">
        <v>62</v>
      </c>
      <c r="BC36" s="38">
        <f t="shared" si="19"/>
        <v>0</v>
      </c>
      <c r="BD36" s="38">
        <f t="shared" si="20"/>
        <v>0</v>
      </c>
      <c r="BE36" s="38">
        <v>0</v>
      </c>
      <c r="BF36" s="38">
        <f t="shared" si="21"/>
        <v>0.17599999999999999</v>
      </c>
      <c r="BH36" s="38">
        <f t="shared" si="22"/>
        <v>0</v>
      </c>
      <c r="BI36" s="38">
        <f t="shared" si="23"/>
        <v>0</v>
      </c>
      <c r="BJ36" s="38">
        <f t="shared" si="24"/>
        <v>0</v>
      </c>
      <c r="BK36" s="38"/>
      <c r="BL36" s="38">
        <v>96</v>
      </c>
      <c r="BW36" s="38">
        <f t="shared" si="25"/>
        <v>21</v>
      </c>
      <c r="BX36" s="5" t="s">
        <v>117</v>
      </c>
    </row>
    <row r="37" spans="1:76" x14ac:dyDescent="0.25">
      <c r="A37" s="2" t="s">
        <v>119</v>
      </c>
      <c r="B37" s="3" t="s">
        <v>51</v>
      </c>
      <c r="C37" s="3" t="s">
        <v>120</v>
      </c>
      <c r="D37" s="113" t="s">
        <v>121</v>
      </c>
      <c r="E37" s="110"/>
      <c r="F37" s="3" t="s">
        <v>66</v>
      </c>
      <c r="G37" s="38">
        <v>4</v>
      </c>
      <c r="H37" s="103"/>
      <c r="I37" s="39">
        <v>21</v>
      </c>
      <c r="J37" s="38">
        <f t="shared" si="0"/>
        <v>0</v>
      </c>
      <c r="K37" s="38">
        <f t="shared" si="1"/>
        <v>0</v>
      </c>
      <c r="L37" s="38">
        <f t="shared" si="2"/>
        <v>0</v>
      </c>
      <c r="M37" s="38">
        <f t="shared" si="3"/>
        <v>0</v>
      </c>
      <c r="N37" s="38">
        <v>3.1870000000000002E-2</v>
      </c>
      <c r="O37" s="38">
        <f t="shared" si="4"/>
        <v>0.12748000000000001</v>
      </c>
      <c r="P37" s="40" t="s">
        <v>59</v>
      </c>
      <c r="Z37" s="38">
        <f t="shared" si="5"/>
        <v>0</v>
      </c>
      <c r="AB37" s="38">
        <f t="shared" si="6"/>
        <v>0</v>
      </c>
      <c r="AC37" s="38">
        <f t="shared" si="7"/>
        <v>0</v>
      </c>
      <c r="AD37" s="38">
        <f t="shared" si="8"/>
        <v>0</v>
      </c>
      <c r="AE37" s="38">
        <f t="shared" si="9"/>
        <v>0</v>
      </c>
      <c r="AF37" s="38">
        <f t="shared" si="10"/>
        <v>0</v>
      </c>
      <c r="AG37" s="38">
        <f t="shared" si="11"/>
        <v>0</v>
      </c>
      <c r="AH37" s="38">
        <f t="shared" si="12"/>
        <v>0</v>
      </c>
      <c r="AI37" s="13" t="s">
        <v>51</v>
      </c>
      <c r="AJ37" s="38">
        <f t="shared" si="13"/>
        <v>0</v>
      </c>
      <c r="AK37" s="38">
        <f t="shared" si="14"/>
        <v>0</v>
      </c>
      <c r="AL37" s="38">
        <f t="shared" si="15"/>
        <v>0</v>
      </c>
      <c r="AN37" s="38">
        <v>21</v>
      </c>
      <c r="AO37" s="38">
        <f>H37*0</f>
        <v>0</v>
      </c>
      <c r="AP37" s="38">
        <f>H37*(1-0)</f>
        <v>0</v>
      </c>
      <c r="AQ37" s="41" t="s">
        <v>55</v>
      </c>
      <c r="AV37" s="38">
        <f t="shared" si="16"/>
        <v>0</v>
      </c>
      <c r="AW37" s="38">
        <f t="shared" si="17"/>
        <v>0</v>
      </c>
      <c r="AX37" s="38">
        <f t="shared" si="18"/>
        <v>0</v>
      </c>
      <c r="AY37" s="41" t="s">
        <v>60</v>
      </c>
      <c r="AZ37" s="41" t="s">
        <v>61</v>
      </c>
      <c r="BA37" s="13" t="s">
        <v>62</v>
      </c>
      <c r="BC37" s="38">
        <f t="shared" si="19"/>
        <v>0</v>
      </c>
      <c r="BD37" s="38">
        <f t="shared" si="20"/>
        <v>0</v>
      </c>
      <c r="BE37" s="38">
        <v>0</v>
      </c>
      <c r="BF37" s="38">
        <f t="shared" si="21"/>
        <v>0.12748000000000001</v>
      </c>
      <c r="BH37" s="38">
        <f t="shared" si="22"/>
        <v>0</v>
      </c>
      <c r="BI37" s="38">
        <f t="shared" si="23"/>
        <v>0</v>
      </c>
      <c r="BJ37" s="38">
        <f t="shared" si="24"/>
        <v>0</v>
      </c>
      <c r="BK37" s="38"/>
      <c r="BL37" s="38">
        <v>96</v>
      </c>
      <c r="BW37" s="38">
        <f t="shared" si="25"/>
        <v>21</v>
      </c>
      <c r="BX37" s="5" t="s">
        <v>121</v>
      </c>
    </row>
    <row r="38" spans="1:76" x14ac:dyDescent="0.25">
      <c r="A38" s="2" t="s">
        <v>122</v>
      </c>
      <c r="B38" s="3" t="s">
        <v>51</v>
      </c>
      <c r="C38" s="3" t="s">
        <v>123</v>
      </c>
      <c r="D38" s="113" t="s">
        <v>124</v>
      </c>
      <c r="E38" s="110"/>
      <c r="F38" s="3" t="s">
        <v>118</v>
      </c>
      <c r="G38" s="38">
        <v>2</v>
      </c>
      <c r="H38" s="103"/>
      <c r="I38" s="39">
        <v>21</v>
      </c>
      <c r="J38" s="38">
        <f t="shared" si="0"/>
        <v>0</v>
      </c>
      <c r="K38" s="38">
        <f t="shared" si="1"/>
        <v>0</v>
      </c>
      <c r="L38" s="38">
        <f t="shared" si="2"/>
        <v>0</v>
      </c>
      <c r="M38" s="38">
        <f t="shared" si="3"/>
        <v>0</v>
      </c>
      <c r="N38" s="38">
        <v>3.4200000000000001E-2</v>
      </c>
      <c r="O38" s="38">
        <f t="shared" si="4"/>
        <v>6.8400000000000002E-2</v>
      </c>
      <c r="P38" s="40" t="s">
        <v>59</v>
      </c>
      <c r="Z38" s="38">
        <f t="shared" si="5"/>
        <v>0</v>
      </c>
      <c r="AB38" s="38">
        <f t="shared" si="6"/>
        <v>0</v>
      </c>
      <c r="AC38" s="38">
        <f t="shared" si="7"/>
        <v>0</v>
      </c>
      <c r="AD38" s="38">
        <f t="shared" si="8"/>
        <v>0</v>
      </c>
      <c r="AE38" s="38">
        <f t="shared" si="9"/>
        <v>0</v>
      </c>
      <c r="AF38" s="38">
        <f t="shared" si="10"/>
        <v>0</v>
      </c>
      <c r="AG38" s="38">
        <f t="shared" si="11"/>
        <v>0</v>
      </c>
      <c r="AH38" s="38">
        <f t="shared" si="12"/>
        <v>0</v>
      </c>
      <c r="AI38" s="13" t="s">
        <v>51</v>
      </c>
      <c r="AJ38" s="38">
        <f t="shared" si="13"/>
        <v>0</v>
      </c>
      <c r="AK38" s="38">
        <f t="shared" si="14"/>
        <v>0</v>
      </c>
      <c r="AL38" s="38">
        <f t="shared" si="15"/>
        <v>0</v>
      </c>
      <c r="AN38" s="38">
        <v>21</v>
      </c>
      <c r="AO38" s="38">
        <f>H38*0</f>
        <v>0</v>
      </c>
      <c r="AP38" s="38">
        <f>H38*(1-0)</f>
        <v>0</v>
      </c>
      <c r="AQ38" s="41" t="s">
        <v>55</v>
      </c>
      <c r="AV38" s="38">
        <f t="shared" si="16"/>
        <v>0</v>
      </c>
      <c r="AW38" s="38">
        <f t="shared" si="17"/>
        <v>0</v>
      </c>
      <c r="AX38" s="38">
        <f t="shared" si="18"/>
        <v>0</v>
      </c>
      <c r="AY38" s="41" t="s">
        <v>60</v>
      </c>
      <c r="AZ38" s="41" t="s">
        <v>61</v>
      </c>
      <c r="BA38" s="13" t="s">
        <v>62</v>
      </c>
      <c r="BC38" s="38">
        <f t="shared" si="19"/>
        <v>0</v>
      </c>
      <c r="BD38" s="38">
        <f t="shared" si="20"/>
        <v>0</v>
      </c>
      <c r="BE38" s="38">
        <v>0</v>
      </c>
      <c r="BF38" s="38">
        <f t="shared" si="21"/>
        <v>6.8400000000000002E-2</v>
      </c>
      <c r="BH38" s="38">
        <f t="shared" si="22"/>
        <v>0</v>
      </c>
      <c r="BI38" s="38">
        <f t="shared" si="23"/>
        <v>0</v>
      </c>
      <c r="BJ38" s="38">
        <f t="shared" si="24"/>
        <v>0</v>
      </c>
      <c r="BK38" s="38"/>
      <c r="BL38" s="38">
        <v>96</v>
      </c>
      <c r="BW38" s="38">
        <f t="shared" si="25"/>
        <v>21</v>
      </c>
      <c r="BX38" s="5" t="s">
        <v>124</v>
      </c>
    </row>
    <row r="39" spans="1:76" x14ac:dyDescent="0.25">
      <c r="A39" s="2" t="s">
        <v>125</v>
      </c>
      <c r="B39" s="3" t="s">
        <v>51</v>
      </c>
      <c r="C39" s="3" t="s">
        <v>126</v>
      </c>
      <c r="D39" s="113" t="s">
        <v>127</v>
      </c>
      <c r="E39" s="110"/>
      <c r="F39" s="3" t="s">
        <v>66</v>
      </c>
      <c r="G39" s="38">
        <v>2</v>
      </c>
      <c r="H39" s="103"/>
      <c r="I39" s="39">
        <v>21</v>
      </c>
      <c r="J39" s="38">
        <f t="shared" si="0"/>
        <v>0</v>
      </c>
      <c r="K39" s="38">
        <f t="shared" si="1"/>
        <v>0</v>
      </c>
      <c r="L39" s="38">
        <f t="shared" si="2"/>
        <v>0</v>
      </c>
      <c r="M39" s="38">
        <f t="shared" si="3"/>
        <v>0</v>
      </c>
      <c r="N39" s="38">
        <v>2.5010000000000001E-2</v>
      </c>
      <c r="O39" s="38">
        <f t="shared" si="4"/>
        <v>5.0020000000000002E-2</v>
      </c>
      <c r="P39" s="40" t="s">
        <v>59</v>
      </c>
      <c r="Z39" s="38">
        <f t="shared" si="5"/>
        <v>0</v>
      </c>
      <c r="AB39" s="38">
        <f t="shared" si="6"/>
        <v>0</v>
      </c>
      <c r="AC39" s="38">
        <f t="shared" si="7"/>
        <v>0</v>
      </c>
      <c r="AD39" s="38">
        <f t="shared" si="8"/>
        <v>0</v>
      </c>
      <c r="AE39" s="38">
        <f t="shared" si="9"/>
        <v>0</v>
      </c>
      <c r="AF39" s="38">
        <f t="shared" si="10"/>
        <v>0</v>
      </c>
      <c r="AG39" s="38">
        <f t="shared" si="11"/>
        <v>0</v>
      </c>
      <c r="AH39" s="38">
        <f t="shared" si="12"/>
        <v>0</v>
      </c>
      <c r="AI39" s="13" t="s">
        <v>51</v>
      </c>
      <c r="AJ39" s="38">
        <f t="shared" si="13"/>
        <v>0</v>
      </c>
      <c r="AK39" s="38">
        <f t="shared" si="14"/>
        <v>0</v>
      </c>
      <c r="AL39" s="38">
        <f t="shared" si="15"/>
        <v>0</v>
      </c>
      <c r="AN39" s="38">
        <v>21</v>
      </c>
      <c r="AO39" s="38">
        <f>H39*0.15606249</f>
        <v>0</v>
      </c>
      <c r="AP39" s="38">
        <f>H39*(1-0.15606249)</f>
        <v>0</v>
      </c>
      <c r="AQ39" s="41" t="s">
        <v>55</v>
      </c>
      <c r="AV39" s="38">
        <f t="shared" si="16"/>
        <v>0</v>
      </c>
      <c r="AW39" s="38">
        <f t="shared" si="17"/>
        <v>0</v>
      </c>
      <c r="AX39" s="38">
        <f t="shared" si="18"/>
        <v>0</v>
      </c>
      <c r="AY39" s="41" t="s">
        <v>60</v>
      </c>
      <c r="AZ39" s="41" t="s">
        <v>61</v>
      </c>
      <c r="BA39" s="13" t="s">
        <v>62</v>
      </c>
      <c r="BC39" s="38">
        <f t="shared" si="19"/>
        <v>0</v>
      </c>
      <c r="BD39" s="38">
        <f t="shared" si="20"/>
        <v>0</v>
      </c>
      <c r="BE39" s="38">
        <v>0</v>
      </c>
      <c r="BF39" s="38">
        <f t="shared" si="21"/>
        <v>5.0020000000000002E-2</v>
      </c>
      <c r="BH39" s="38">
        <f t="shared" si="22"/>
        <v>0</v>
      </c>
      <c r="BI39" s="38">
        <f t="shared" si="23"/>
        <v>0</v>
      </c>
      <c r="BJ39" s="38">
        <f t="shared" si="24"/>
        <v>0</v>
      </c>
      <c r="BK39" s="38"/>
      <c r="BL39" s="38">
        <v>96</v>
      </c>
      <c r="BW39" s="38">
        <f t="shared" si="25"/>
        <v>21</v>
      </c>
      <c r="BX39" s="5" t="s">
        <v>127</v>
      </c>
    </row>
    <row r="40" spans="1:76" x14ac:dyDescent="0.25">
      <c r="A40" s="2" t="s">
        <v>128</v>
      </c>
      <c r="B40" s="3" t="s">
        <v>51</v>
      </c>
      <c r="C40" s="3" t="s">
        <v>129</v>
      </c>
      <c r="D40" s="113" t="s">
        <v>130</v>
      </c>
      <c r="E40" s="110"/>
      <c r="F40" s="3" t="s">
        <v>66</v>
      </c>
      <c r="G40" s="38">
        <v>2</v>
      </c>
      <c r="H40" s="103"/>
      <c r="I40" s="39">
        <v>21</v>
      </c>
      <c r="J40" s="38">
        <f t="shared" si="0"/>
        <v>0</v>
      </c>
      <c r="K40" s="38">
        <f t="shared" si="1"/>
        <v>0</v>
      </c>
      <c r="L40" s="38">
        <f t="shared" si="2"/>
        <v>0</v>
      </c>
      <c r="M40" s="38">
        <f t="shared" si="3"/>
        <v>0</v>
      </c>
      <c r="N40" s="38">
        <v>4.6829999999999997E-2</v>
      </c>
      <c r="O40" s="38">
        <f t="shared" si="4"/>
        <v>9.3659999999999993E-2</v>
      </c>
      <c r="P40" s="40" t="s">
        <v>59</v>
      </c>
      <c r="Z40" s="38">
        <f t="shared" si="5"/>
        <v>0</v>
      </c>
      <c r="AB40" s="38">
        <f t="shared" si="6"/>
        <v>0</v>
      </c>
      <c r="AC40" s="38">
        <f t="shared" si="7"/>
        <v>0</v>
      </c>
      <c r="AD40" s="38">
        <f t="shared" si="8"/>
        <v>0</v>
      </c>
      <c r="AE40" s="38">
        <f t="shared" si="9"/>
        <v>0</v>
      </c>
      <c r="AF40" s="38">
        <f t="shared" si="10"/>
        <v>0</v>
      </c>
      <c r="AG40" s="38">
        <f t="shared" si="11"/>
        <v>0</v>
      </c>
      <c r="AH40" s="38">
        <f t="shared" si="12"/>
        <v>0</v>
      </c>
      <c r="AI40" s="13" t="s">
        <v>51</v>
      </c>
      <c r="AJ40" s="38">
        <f t="shared" si="13"/>
        <v>0</v>
      </c>
      <c r="AK40" s="38">
        <f t="shared" si="14"/>
        <v>0</v>
      </c>
      <c r="AL40" s="38">
        <f t="shared" si="15"/>
        <v>0</v>
      </c>
      <c r="AN40" s="38">
        <v>21</v>
      </c>
      <c r="AO40" s="38">
        <f>H40*0.120800033</f>
        <v>0</v>
      </c>
      <c r="AP40" s="38">
        <f>H40*(1-0.120800033)</f>
        <v>0</v>
      </c>
      <c r="AQ40" s="41" t="s">
        <v>55</v>
      </c>
      <c r="AV40" s="38">
        <f t="shared" si="16"/>
        <v>0</v>
      </c>
      <c r="AW40" s="38">
        <f t="shared" si="17"/>
        <v>0</v>
      </c>
      <c r="AX40" s="38">
        <f t="shared" si="18"/>
        <v>0</v>
      </c>
      <c r="AY40" s="41" t="s">
        <v>60</v>
      </c>
      <c r="AZ40" s="41" t="s">
        <v>61</v>
      </c>
      <c r="BA40" s="13" t="s">
        <v>62</v>
      </c>
      <c r="BC40" s="38">
        <f t="shared" si="19"/>
        <v>0</v>
      </c>
      <c r="BD40" s="38">
        <f t="shared" si="20"/>
        <v>0</v>
      </c>
      <c r="BE40" s="38">
        <v>0</v>
      </c>
      <c r="BF40" s="38">
        <f t="shared" si="21"/>
        <v>9.3659999999999993E-2</v>
      </c>
      <c r="BH40" s="38">
        <f t="shared" si="22"/>
        <v>0</v>
      </c>
      <c r="BI40" s="38">
        <f t="shared" si="23"/>
        <v>0</v>
      </c>
      <c r="BJ40" s="38">
        <f t="shared" si="24"/>
        <v>0</v>
      </c>
      <c r="BK40" s="38"/>
      <c r="BL40" s="38">
        <v>96</v>
      </c>
      <c r="BW40" s="38">
        <f t="shared" si="25"/>
        <v>21</v>
      </c>
      <c r="BX40" s="5" t="s">
        <v>130</v>
      </c>
    </row>
    <row r="41" spans="1:76" x14ac:dyDescent="0.25">
      <c r="A41" s="2" t="s">
        <v>131</v>
      </c>
      <c r="B41" s="3" t="s">
        <v>51</v>
      </c>
      <c r="C41" s="3" t="s">
        <v>132</v>
      </c>
      <c r="D41" s="113" t="s">
        <v>133</v>
      </c>
      <c r="E41" s="110"/>
      <c r="F41" s="3" t="s">
        <v>134</v>
      </c>
      <c r="G41" s="38">
        <v>8.0701800000000006</v>
      </c>
      <c r="H41" s="103"/>
      <c r="I41" s="39">
        <v>21</v>
      </c>
      <c r="J41" s="38">
        <f t="shared" si="0"/>
        <v>0</v>
      </c>
      <c r="K41" s="38">
        <f t="shared" si="1"/>
        <v>0</v>
      </c>
      <c r="L41" s="38">
        <f t="shared" si="2"/>
        <v>0</v>
      </c>
      <c r="M41" s="38">
        <f t="shared" si="3"/>
        <v>0</v>
      </c>
      <c r="N41" s="38">
        <v>0</v>
      </c>
      <c r="O41" s="38">
        <f t="shared" si="4"/>
        <v>0</v>
      </c>
      <c r="P41" s="40" t="s">
        <v>59</v>
      </c>
      <c r="Z41" s="38">
        <f t="shared" si="5"/>
        <v>0</v>
      </c>
      <c r="AB41" s="38">
        <f t="shared" si="6"/>
        <v>0</v>
      </c>
      <c r="AC41" s="38">
        <f t="shared" si="7"/>
        <v>0</v>
      </c>
      <c r="AD41" s="38">
        <f t="shared" si="8"/>
        <v>0</v>
      </c>
      <c r="AE41" s="38">
        <f t="shared" si="9"/>
        <v>0</v>
      </c>
      <c r="AF41" s="38">
        <f t="shared" si="10"/>
        <v>0</v>
      </c>
      <c r="AG41" s="38">
        <f t="shared" si="11"/>
        <v>0</v>
      </c>
      <c r="AH41" s="38">
        <f t="shared" si="12"/>
        <v>0</v>
      </c>
      <c r="AI41" s="13" t="s">
        <v>51</v>
      </c>
      <c r="AJ41" s="38">
        <f t="shared" si="13"/>
        <v>0</v>
      </c>
      <c r="AK41" s="38">
        <f t="shared" si="14"/>
        <v>0</v>
      </c>
      <c r="AL41" s="38">
        <f t="shared" si="15"/>
        <v>0</v>
      </c>
      <c r="AN41" s="38">
        <v>21</v>
      </c>
      <c r="AO41" s="38">
        <f t="shared" ref="AO41:AO51" si="26">H41*0</f>
        <v>0</v>
      </c>
      <c r="AP41" s="38">
        <f t="shared" ref="AP41:AP51" si="27">H41*(1-0)</f>
        <v>0</v>
      </c>
      <c r="AQ41" s="41" t="s">
        <v>77</v>
      </c>
      <c r="AV41" s="38">
        <f t="shared" si="16"/>
        <v>0</v>
      </c>
      <c r="AW41" s="38">
        <f t="shared" si="17"/>
        <v>0</v>
      </c>
      <c r="AX41" s="38">
        <f t="shared" si="18"/>
        <v>0</v>
      </c>
      <c r="AY41" s="41" t="s">
        <v>60</v>
      </c>
      <c r="AZ41" s="41" t="s">
        <v>61</v>
      </c>
      <c r="BA41" s="13" t="s">
        <v>62</v>
      </c>
      <c r="BC41" s="38">
        <f t="shared" si="19"/>
        <v>0</v>
      </c>
      <c r="BD41" s="38">
        <f t="shared" si="20"/>
        <v>0</v>
      </c>
      <c r="BE41" s="38">
        <v>0</v>
      </c>
      <c r="BF41" s="38">
        <f t="shared" si="21"/>
        <v>0</v>
      </c>
      <c r="BH41" s="38">
        <f t="shared" si="22"/>
        <v>0</v>
      </c>
      <c r="BI41" s="38">
        <f t="shared" si="23"/>
        <v>0</v>
      </c>
      <c r="BJ41" s="38">
        <f t="shared" si="24"/>
        <v>0</v>
      </c>
      <c r="BK41" s="38"/>
      <c r="BL41" s="38">
        <v>96</v>
      </c>
      <c r="BW41" s="38">
        <f t="shared" si="25"/>
        <v>21</v>
      </c>
      <c r="BX41" s="5" t="s">
        <v>133</v>
      </c>
    </row>
    <row r="42" spans="1:76" x14ac:dyDescent="0.25">
      <c r="A42" s="2" t="s">
        <v>135</v>
      </c>
      <c r="B42" s="3" t="s">
        <v>51</v>
      </c>
      <c r="C42" s="3" t="s">
        <v>136</v>
      </c>
      <c r="D42" s="113" t="s">
        <v>137</v>
      </c>
      <c r="E42" s="110"/>
      <c r="F42" s="3" t="s">
        <v>134</v>
      </c>
      <c r="G42" s="38">
        <v>32.280720000000002</v>
      </c>
      <c r="H42" s="103"/>
      <c r="I42" s="39">
        <v>21</v>
      </c>
      <c r="J42" s="38">
        <f t="shared" si="0"/>
        <v>0</v>
      </c>
      <c r="K42" s="38">
        <f t="shared" si="1"/>
        <v>0</v>
      </c>
      <c r="L42" s="38">
        <f t="shared" si="2"/>
        <v>0</v>
      </c>
      <c r="M42" s="38">
        <f t="shared" si="3"/>
        <v>0</v>
      </c>
      <c r="N42" s="38">
        <v>0</v>
      </c>
      <c r="O42" s="38">
        <f t="shared" si="4"/>
        <v>0</v>
      </c>
      <c r="P42" s="40" t="s">
        <v>59</v>
      </c>
      <c r="Z42" s="38">
        <f t="shared" si="5"/>
        <v>0</v>
      </c>
      <c r="AB42" s="38">
        <f t="shared" si="6"/>
        <v>0</v>
      </c>
      <c r="AC42" s="38">
        <f t="shared" si="7"/>
        <v>0</v>
      </c>
      <c r="AD42" s="38">
        <f t="shared" si="8"/>
        <v>0</v>
      </c>
      <c r="AE42" s="38">
        <f t="shared" si="9"/>
        <v>0</v>
      </c>
      <c r="AF42" s="38">
        <f t="shared" si="10"/>
        <v>0</v>
      </c>
      <c r="AG42" s="38">
        <f t="shared" si="11"/>
        <v>0</v>
      </c>
      <c r="AH42" s="38">
        <f t="shared" si="12"/>
        <v>0</v>
      </c>
      <c r="AI42" s="13" t="s">
        <v>51</v>
      </c>
      <c r="AJ42" s="38">
        <f t="shared" si="13"/>
        <v>0</v>
      </c>
      <c r="AK42" s="38">
        <f t="shared" si="14"/>
        <v>0</v>
      </c>
      <c r="AL42" s="38">
        <f t="shared" si="15"/>
        <v>0</v>
      </c>
      <c r="AN42" s="38">
        <v>21</v>
      </c>
      <c r="AO42" s="38">
        <f t="shared" si="26"/>
        <v>0</v>
      </c>
      <c r="AP42" s="38">
        <f t="shared" si="27"/>
        <v>0</v>
      </c>
      <c r="AQ42" s="41" t="s">
        <v>77</v>
      </c>
      <c r="AV42" s="38">
        <f t="shared" si="16"/>
        <v>0</v>
      </c>
      <c r="AW42" s="38">
        <f t="shared" si="17"/>
        <v>0</v>
      </c>
      <c r="AX42" s="38">
        <f t="shared" si="18"/>
        <v>0</v>
      </c>
      <c r="AY42" s="41" t="s">
        <v>60</v>
      </c>
      <c r="AZ42" s="41" t="s">
        <v>61</v>
      </c>
      <c r="BA42" s="13" t="s">
        <v>62</v>
      </c>
      <c r="BC42" s="38">
        <f t="shared" si="19"/>
        <v>0</v>
      </c>
      <c r="BD42" s="38">
        <f t="shared" si="20"/>
        <v>0</v>
      </c>
      <c r="BE42" s="38">
        <v>0</v>
      </c>
      <c r="BF42" s="38">
        <f t="shared" si="21"/>
        <v>0</v>
      </c>
      <c r="BH42" s="38">
        <f t="shared" si="22"/>
        <v>0</v>
      </c>
      <c r="BI42" s="38">
        <f t="shared" si="23"/>
        <v>0</v>
      </c>
      <c r="BJ42" s="38">
        <f t="shared" si="24"/>
        <v>0</v>
      </c>
      <c r="BK42" s="38"/>
      <c r="BL42" s="38">
        <v>96</v>
      </c>
      <c r="BW42" s="38">
        <f t="shared" si="25"/>
        <v>21</v>
      </c>
      <c r="BX42" s="5" t="s">
        <v>137</v>
      </c>
    </row>
    <row r="43" spans="1:76" x14ac:dyDescent="0.25">
      <c r="A43" s="2" t="s">
        <v>138</v>
      </c>
      <c r="B43" s="3" t="s">
        <v>51</v>
      </c>
      <c r="C43" s="3" t="s">
        <v>139</v>
      </c>
      <c r="D43" s="113" t="s">
        <v>140</v>
      </c>
      <c r="E43" s="110"/>
      <c r="F43" s="3" t="s">
        <v>134</v>
      </c>
      <c r="G43" s="38">
        <v>8.0701800000000006</v>
      </c>
      <c r="H43" s="103"/>
      <c r="I43" s="39">
        <v>21</v>
      </c>
      <c r="J43" s="38">
        <f t="shared" si="0"/>
        <v>0</v>
      </c>
      <c r="K43" s="38">
        <f t="shared" si="1"/>
        <v>0</v>
      </c>
      <c r="L43" s="38">
        <f t="shared" si="2"/>
        <v>0</v>
      </c>
      <c r="M43" s="38">
        <f t="shared" si="3"/>
        <v>0</v>
      </c>
      <c r="N43" s="38">
        <v>0</v>
      </c>
      <c r="O43" s="38">
        <f t="shared" si="4"/>
        <v>0</v>
      </c>
      <c r="P43" s="40" t="s">
        <v>59</v>
      </c>
      <c r="Z43" s="38">
        <f t="shared" si="5"/>
        <v>0</v>
      </c>
      <c r="AB43" s="38">
        <f t="shared" si="6"/>
        <v>0</v>
      </c>
      <c r="AC43" s="38">
        <f t="shared" si="7"/>
        <v>0</v>
      </c>
      <c r="AD43" s="38">
        <f t="shared" si="8"/>
        <v>0</v>
      </c>
      <c r="AE43" s="38">
        <f t="shared" si="9"/>
        <v>0</v>
      </c>
      <c r="AF43" s="38">
        <f t="shared" si="10"/>
        <v>0</v>
      </c>
      <c r="AG43" s="38">
        <f t="shared" si="11"/>
        <v>0</v>
      </c>
      <c r="AH43" s="38">
        <f t="shared" si="12"/>
        <v>0</v>
      </c>
      <c r="AI43" s="13" t="s">
        <v>51</v>
      </c>
      <c r="AJ43" s="38">
        <f t="shared" si="13"/>
        <v>0</v>
      </c>
      <c r="AK43" s="38">
        <f t="shared" si="14"/>
        <v>0</v>
      </c>
      <c r="AL43" s="38">
        <f t="shared" si="15"/>
        <v>0</v>
      </c>
      <c r="AN43" s="38">
        <v>21</v>
      </c>
      <c r="AO43" s="38">
        <f t="shared" si="26"/>
        <v>0</v>
      </c>
      <c r="AP43" s="38">
        <f t="shared" si="27"/>
        <v>0</v>
      </c>
      <c r="AQ43" s="41" t="s">
        <v>77</v>
      </c>
      <c r="AV43" s="38">
        <f t="shared" si="16"/>
        <v>0</v>
      </c>
      <c r="AW43" s="38">
        <f t="shared" si="17"/>
        <v>0</v>
      </c>
      <c r="AX43" s="38">
        <f t="shared" si="18"/>
        <v>0</v>
      </c>
      <c r="AY43" s="41" t="s">
        <v>60</v>
      </c>
      <c r="AZ43" s="41" t="s">
        <v>61</v>
      </c>
      <c r="BA43" s="13" t="s">
        <v>62</v>
      </c>
      <c r="BC43" s="38">
        <f t="shared" si="19"/>
        <v>0</v>
      </c>
      <c r="BD43" s="38">
        <f t="shared" si="20"/>
        <v>0</v>
      </c>
      <c r="BE43" s="38">
        <v>0</v>
      </c>
      <c r="BF43" s="38">
        <f t="shared" si="21"/>
        <v>0</v>
      </c>
      <c r="BH43" s="38">
        <f t="shared" si="22"/>
        <v>0</v>
      </c>
      <c r="BI43" s="38">
        <f t="shared" si="23"/>
        <v>0</v>
      </c>
      <c r="BJ43" s="38">
        <f t="shared" si="24"/>
        <v>0</v>
      </c>
      <c r="BK43" s="38"/>
      <c r="BL43" s="38">
        <v>96</v>
      </c>
      <c r="BW43" s="38">
        <f t="shared" si="25"/>
        <v>21</v>
      </c>
      <c r="BX43" s="5" t="s">
        <v>140</v>
      </c>
    </row>
    <row r="44" spans="1:76" x14ac:dyDescent="0.25">
      <c r="A44" s="2" t="s">
        <v>141</v>
      </c>
      <c r="B44" s="3" t="s">
        <v>51</v>
      </c>
      <c r="C44" s="3" t="s">
        <v>142</v>
      </c>
      <c r="D44" s="113" t="s">
        <v>143</v>
      </c>
      <c r="E44" s="110"/>
      <c r="F44" s="3" t="s">
        <v>134</v>
      </c>
      <c r="G44" s="38">
        <v>8.0701800000000006</v>
      </c>
      <c r="H44" s="103"/>
      <c r="I44" s="39">
        <v>21</v>
      </c>
      <c r="J44" s="38">
        <f t="shared" si="0"/>
        <v>0</v>
      </c>
      <c r="K44" s="38">
        <f t="shared" si="1"/>
        <v>0</v>
      </c>
      <c r="L44" s="38">
        <f t="shared" si="2"/>
        <v>0</v>
      </c>
      <c r="M44" s="38">
        <f t="shared" si="3"/>
        <v>0</v>
      </c>
      <c r="N44" s="38">
        <v>0</v>
      </c>
      <c r="O44" s="38">
        <f t="shared" si="4"/>
        <v>0</v>
      </c>
      <c r="P44" s="40" t="s">
        <v>59</v>
      </c>
      <c r="Z44" s="38">
        <f t="shared" si="5"/>
        <v>0</v>
      </c>
      <c r="AB44" s="38">
        <f t="shared" si="6"/>
        <v>0</v>
      </c>
      <c r="AC44" s="38">
        <f t="shared" si="7"/>
        <v>0</v>
      </c>
      <c r="AD44" s="38">
        <f t="shared" si="8"/>
        <v>0</v>
      </c>
      <c r="AE44" s="38">
        <f t="shared" si="9"/>
        <v>0</v>
      </c>
      <c r="AF44" s="38">
        <f t="shared" si="10"/>
        <v>0</v>
      </c>
      <c r="AG44" s="38">
        <f t="shared" si="11"/>
        <v>0</v>
      </c>
      <c r="AH44" s="38">
        <f t="shared" si="12"/>
        <v>0</v>
      </c>
      <c r="AI44" s="13" t="s">
        <v>51</v>
      </c>
      <c r="AJ44" s="38">
        <f t="shared" si="13"/>
        <v>0</v>
      </c>
      <c r="AK44" s="38">
        <f t="shared" si="14"/>
        <v>0</v>
      </c>
      <c r="AL44" s="38">
        <f t="shared" si="15"/>
        <v>0</v>
      </c>
      <c r="AN44" s="38">
        <v>21</v>
      </c>
      <c r="AO44" s="38">
        <f t="shared" si="26"/>
        <v>0</v>
      </c>
      <c r="AP44" s="38">
        <f t="shared" si="27"/>
        <v>0</v>
      </c>
      <c r="AQ44" s="41" t="s">
        <v>77</v>
      </c>
      <c r="AV44" s="38">
        <f t="shared" si="16"/>
        <v>0</v>
      </c>
      <c r="AW44" s="38">
        <f t="shared" si="17"/>
        <v>0</v>
      </c>
      <c r="AX44" s="38">
        <f t="shared" si="18"/>
        <v>0</v>
      </c>
      <c r="AY44" s="41" t="s">
        <v>60</v>
      </c>
      <c r="AZ44" s="41" t="s">
        <v>61</v>
      </c>
      <c r="BA44" s="13" t="s">
        <v>62</v>
      </c>
      <c r="BC44" s="38">
        <f t="shared" si="19"/>
        <v>0</v>
      </c>
      <c r="BD44" s="38">
        <f t="shared" si="20"/>
        <v>0</v>
      </c>
      <c r="BE44" s="38">
        <v>0</v>
      </c>
      <c r="BF44" s="38">
        <f t="shared" si="21"/>
        <v>0</v>
      </c>
      <c r="BH44" s="38">
        <f t="shared" si="22"/>
        <v>0</v>
      </c>
      <c r="BI44" s="38">
        <f t="shared" si="23"/>
        <v>0</v>
      </c>
      <c r="BJ44" s="38">
        <f t="shared" si="24"/>
        <v>0</v>
      </c>
      <c r="BK44" s="38"/>
      <c r="BL44" s="38">
        <v>96</v>
      </c>
      <c r="BW44" s="38">
        <f t="shared" si="25"/>
        <v>21</v>
      </c>
      <c r="BX44" s="5" t="s">
        <v>143</v>
      </c>
    </row>
    <row r="45" spans="1:76" x14ac:dyDescent="0.25">
      <c r="A45" s="2" t="s">
        <v>144</v>
      </c>
      <c r="B45" s="3" t="s">
        <v>51</v>
      </c>
      <c r="C45" s="3" t="s">
        <v>145</v>
      </c>
      <c r="D45" s="113" t="s">
        <v>146</v>
      </c>
      <c r="E45" s="110"/>
      <c r="F45" s="3" t="s">
        <v>134</v>
      </c>
      <c r="G45" s="38">
        <v>112.98251999999999</v>
      </c>
      <c r="H45" s="103"/>
      <c r="I45" s="39">
        <v>21</v>
      </c>
      <c r="J45" s="38">
        <f t="shared" si="0"/>
        <v>0</v>
      </c>
      <c r="K45" s="38">
        <f t="shared" si="1"/>
        <v>0</v>
      </c>
      <c r="L45" s="38">
        <f t="shared" si="2"/>
        <v>0</v>
      </c>
      <c r="M45" s="38">
        <f t="shared" si="3"/>
        <v>0</v>
      </c>
      <c r="N45" s="38">
        <v>0</v>
      </c>
      <c r="O45" s="38">
        <f t="shared" si="4"/>
        <v>0</v>
      </c>
      <c r="P45" s="40" t="s">
        <v>59</v>
      </c>
      <c r="Z45" s="38">
        <f t="shared" si="5"/>
        <v>0</v>
      </c>
      <c r="AB45" s="38">
        <f t="shared" si="6"/>
        <v>0</v>
      </c>
      <c r="AC45" s="38">
        <f t="shared" si="7"/>
        <v>0</v>
      </c>
      <c r="AD45" s="38">
        <f t="shared" si="8"/>
        <v>0</v>
      </c>
      <c r="AE45" s="38">
        <f t="shared" si="9"/>
        <v>0</v>
      </c>
      <c r="AF45" s="38">
        <f t="shared" si="10"/>
        <v>0</v>
      </c>
      <c r="AG45" s="38">
        <f t="shared" si="11"/>
        <v>0</v>
      </c>
      <c r="AH45" s="38">
        <f t="shared" si="12"/>
        <v>0</v>
      </c>
      <c r="AI45" s="13" t="s">
        <v>51</v>
      </c>
      <c r="AJ45" s="38">
        <f t="shared" si="13"/>
        <v>0</v>
      </c>
      <c r="AK45" s="38">
        <f t="shared" si="14"/>
        <v>0</v>
      </c>
      <c r="AL45" s="38">
        <f t="shared" si="15"/>
        <v>0</v>
      </c>
      <c r="AN45" s="38">
        <v>21</v>
      </c>
      <c r="AO45" s="38">
        <f t="shared" si="26"/>
        <v>0</v>
      </c>
      <c r="AP45" s="38">
        <f t="shared" si="27"/>
        <v>0</v>
      </c>
      <c r="AQ45" s="41" t="s">
        <v>77</v>
      </c>
      <c r="AV45" s="38">
        <f t="shared" si="16"/>
        <v>0</v>
      </c>
      <c r="AW45" s="38">
        <f t="shared" si="17"/>
        <v>0</v>
      </c>
      <c r="AX45" s="38">
        <f t="shared" si="18"/>
        <v>0</v>
      </c>
      <c r="AY45" s="41" t="s">
        <v>60</v>
      </c>
      <c r="AZ45" s="41" t="s">
        <v>61</v>
      </c>
      <c r="BA45" s="13" t="s">
        <v>62</v>
      </c>
      <c r="BC45" s="38">
        <f t="shared" si="19"/>
        <v>0</v>
      </c>
      <c r="BD45" s="38">
        <f t="shared" si="20"/>
        <v>0</v>
      </c>
      <c r="BE45" s="38">
        <v>0</v>
      </c>
      <c r="BF45" s="38">
        <f t="shared" si="21"/>
        <v>0</v>
      </c>
      <c r="BH45" s="38">
        <f t="shared" si="22"/>
        <v>0</v>
      </c>
      <c r="BI45" s="38">
        <f t="shared" si="23"/>
        <v>0</v>
      </c>
      <c r="BJ45" s="38">
        <f t="shared" si="24"/>
        <v>0</v>
      </c>
      <c r="BK45" s="38"/>
      <c r="BL45" s="38">
        <v>96</v>
      </c>
      <c r="BW45" s="38">
        <f t="shared" si="25"/>
        <v>21</v>
      </c>
      <c r="BX45" s="5" t="s">
        <v>146</v>
      </c>
    </row>
    <row r="46" spans="1:76" x14ac:dyDescent="0.25">
      <c r="A46" s="2" t="s">
        <v>147</v>
      </c>
      <c r="B46" s="3" t="s">
        <v>51</v>
      </c>
      <c r="C46" s="3" t="s">
        <v>148</v>
      </c>
      <c r="D46" s="113" t="s">
        <v>149</v>
      </c>
      <c r="E46" s="110"/>
      <c r="F46" s="3" t="s">
        <v>134</v>
      </c>
      <c r="G46" s="38">
        <v>4.2925500000000003</v>
      </c>
      <c r="H46" s="103"/>
      <c r="I46" s="39">
        <v>21</v>
      </c>
      <c r="J46" s="38">
        <f t="shared" si="0"/>
        <v>0</v>
      </c>
      <c r="K46" s="38">
        <f t="shared" si="1"/>
        <v>0</v>
      </c>
      <c r="L46" s="38">
        <f t="shared" si="2"/>
        <v>0</v>
      </c>
      <c r="M46" s="38">
        <f t="shared" si="3"/>
        <v>0</v>
      </c>
      <c r="N46" s="38">
        <v>0</v>
      </c>
      <c r="O46" s="38">
        <f t="shared" si="4"/>
        <v>0</v>
      </c>
      <c r="P46" s="40" t="s">
        <v>59</v>
      </c>
      <c r="Z46" s="38">
        <f t="shared" si="5"/>
        <v>0</v>
      </c>
      <c r="AB46" s="38">
        <f t="shared" si="6"/>
        <v>0</v>
      </c>
      <c r="AC46" s="38">
        <f t="shared" si="7"/>
        <v>0</v>
      </c>
      <c r="AD46" s="38">
        <f t="shared" si="8"/>
        <v>0</v>
      </c>
      <c r="AE46" s="38">
        <f t="shared" si="9"/>
        <v>0</v>
      </c>
      <c r="AF46" s="38">
        <f t="shared" si="10"/>
        <v>0</v>
      </c>
      <c r="AG46" s="38">
        <f t="shared" si="11"/>
        <v>0</v>
      </c>
      <c r="AH46" s="38">
        <f t="shared" si="12"/>
        <v>0</v>
      </c>
      <c r="AI46" s="13" t="s">
        <v>51</v>
      </c>
      <c r="AJ46" s="38">
        <f t="shared" si="13"/>
        <v>0</v>
      </c>
      <c r="AK46" s="38">
        <f t="shared" si="14"/>
        <v>0</v>
      </c>
      <c r="AL46" s="38">
        <f t="shared" si="15"/>
        <v>0</v>
      </c>
      <c r="AN46" s="38">
        <v>21</v>
      </c>
      <c r="AO46" s="38">
        <f t="shared" si="26"/>
        <v>0</v>
      </c>
      <c r="AP46" s="38">
        <f t="shared" si="27"/>
        <v>0</v>
      </c>
      <c r="AQ46" s="41" t="s">
        <v>77</v>
      </c>
      <c r="AV46" s="38">
        <f t="shared" si="16"/>
        <v>0</v>
      </c>
      <c r="AW46" s="38">
        <f t="shared" si="17"/>
        <v>0</v>
      </c>
      <c r="AX46" s="38">
        <f t="shared" si="18"/>
        <v>0</v>
      </c>
      <c r="AY46" s="41" t="s">
        <v>60</v>
      </c>
      <c r="AZ46" s="41" t="s">
        <v>61</v>
      </c>
      <c r="BA46" s="13" t="s">
        <v>62</v>
      </c>
      <c r="BC46" s="38">
        <f t="shared" si="19"/>
        <v>0</v>
      </c>
      <c r="BD46" s="38">
        <f t="shared" si="20"/>
        <v>0</v>
      </c>
      <c r="BE46" s="38">
        <v>0</v>
      </c>
      <c r="BF46" s="38">
        <f t="shared" si="21"/>
        <v>0</v>
      </c>
      <c r="BH46" s="38">
        <f t="shared" si="22"/>
        <v>0</v>
      </c>
      <c r="BI46" s="38">
        <f t="shared" si="23"/>
        <v>0</v>
      </c>
      <c r="BJ46" s="38">
        <f t="shared" si="24"/>
        <v>0</v>
      </c>
      <c r="BK46" s="38"/>
      <c r="BL46" s="38">
        <v>96</v>
      </c>
      <c r="BW46" s="38">
        <f t="shared" si="25"/>
        <v>21</v>
      </c>
      <c r="BX46" s="5" t="s">
        <v>149</v>
      </c>
    </row>
    <row r="47" spans="1:76" x14ac:dyDescent="0.25">
      <c r="A47" s="2" t="s">
        <v>150</v>
      </c>
      <c r="B47" s="3" t="s">
        <v>51</v>
      </c>
      <c r="C47" s="3" t="s">
        <v>151</v>
      </c>
      <c r="D47" s="113" t="s">
        <v>152</v>
      </c>
      <c r="E47" s="110"/>
      <c r="F47" s="3" t="s">
        <v>134</v>
      </c>
      <c r="G47" s="38">
        <v>2.0445600000000002</v>
      </c>
      <c r="H47" s="103"/>
      <c r="I47" s="39">
        <v>21</v>
      </c>
      <c r="J47" s="38">
        <f t="shared" si="0"/>
        <v>0</v>
      </c>
      <c r="K47" s="38">
        <f t="shared" si="1"/>
        <v>0</v>
      </c>
      <c r="L47" s="38">
        <f t="shared" si="2"/>
        <v>0</v>
      </c>
      <c r="M47" s="38">
        <f t="shared" si="3"/>
        <v>0</v>
      </c>
      <c r="N47" s="38">
        <v>0</v>
      </c>
      <c r="O47" s="38">
        <f t="shared" si="4"/>
        <v>0</v>
      </c>
      <c r="P47" s="40" t="s">
        <v>59</v>
      </c>
      <c r="Z47" s="38">
        <f t="shared" si="5"/>
        <v>0</v>
      </c>
      <c r="AB47" s="38">
        <f t="shared" si="6"/>
        <v>0</v>
      </c>
      <c r="AC47" s="38">
        <f t="shared" si="7"/>
        <v>0</v>
      </c>
      <c r="AD47" s="38">
        <f t="shared" si="8"/>
        <v>0</v>
      </c>
      <c r="AE47" s="38">
        <f t="shared" si="9"/>
        <v>0</v>
      </c>
      <c r="AF47" s="38">
        <f t="shared" si="10"/>
        <v>0</v>
      </c>
      <c r="AG47" s="38">
        <f t="shared" si="11"/>
        <v>0</v>
      </c>
      <c r="AH47" s="38">
        <f t="shared" si="12"/>
        <v>0</v>
      </c>
      <c r="AI47" s="13" t="s">
        <v>51</v>
      </c>
      <c r="AJ47" s="38">
        <f t="shared" si="13"/>
        <v>0</v>
      </c>
      <c r="AK47" s="38">
        <f t="shared" si="14"/>
        <v>0</v>
      </c>
      <c r="AL47" s="38">
        <f t="shared" si="15"/>
        <v>0</v>
      </c>
      <c r="AN47" s="38">
        <v>21</v>
      </c>
      <c r="AO47" s="38">
        <f t="shared" si="26"/>
        <v>0</v>
      </c>
      <c r="AP47" s="38">
        <f t="shared" si="27"/>
        <v>0</v>
      </c>
      <c r="AQ47" s="41" t="s">
        <v>77</v>
      </c>
      <c r="AV47" s="38">
        <f t="shared" si="16"/>
        <v>0</v>
      </c>
      <c r="AW47" s="38">
        <f t="shared" si="17"/>
        <v>0</v>
      </c>
      <c r="AX47" s="38">
        <f t="shared" si="18"/>
        <v>0</v>
      </c>
      <c r="AY47" s="41" t="s">
        <v>60</v>
      </c>
      <c r="AZ47" s="41" t="s">
        <v>61</v>
      </c>
      <c r="BA47" s="13" t="s">
        <v>62</v>
      </c>
      <c r="BC47" s="38">
        <f t="shared" si="19"/>
        <v>0</v>
      </c>
      <c r="BD47" s="38">
        <f t="shared" si="20"/>
        <v>0</v>
      </c>
      <c r="BE47" s="38">
        <v>0</v>
      </c>
      <c r="BF47" s="38">
        <f t="shared" si="21"/>
        <v>0</v>
      </c>
      <c r="BH47" s="38">
        <f t="shared" si="22"/>
        <v>0</v>
      </c>
      <c r="BI47" s="38">
        <f t="shared" si="23"/>
        <v>0</v>
      </c>
      <c r="BJ47" s="38">
        <f t="shared" si="24"/>
        <v>0</v>
      </c>
      <c r="BK47" s="38"/>
      <c r="BL47" s="38">
        <v>96</v>
      </c>
      <c r="BW47" s="38">
        <f t="shared" si="25"/>
        <v>21</v>
      </c>
      <c r="BX47" s="5" t="s">
        <v>152</v>
      </c>
    </row>
    <row r="48" spans="1:76" ht="25.5" x14ac:dyDescent="0.25">
      <c r="A48" s="2" t="s">
        <v>153</v>
      </c>
      <c r="B48" s="3" t="s">
        <v>51</v>
      </c>
      <c r="C48" s="3" t="s">
        <v>154</v>
      </c>
      <c r="D48" s="113" t="s">
        <v>155</v>
      </c>
      <c r="E48" s="110"/>
      <c r="F48" s="3" t="s">
        <v>134</v>
      </c>
      <c r="G48" s="38">
        <v>1.33162</v>
      </c>
      <c r="H48" s="103"/>
      <c r="I48" s="39">
        <v>21</v>
      </c>
      <c r="J48" s="38">
        <f t="shared" si="0"/>
        <v>0</v>
      </c>
      <c r="K48" s="38">
        <f t="shared" si="1"/>
        <v>0</v>
      </c>
      <c r="L48" s="38">
        <f t="shared" si="2"/>
        <v>0</v>
      </c>
      <c r="M48" s="38">
        <f t="shared" si="3"/>
        <v>0</v>
      </c>
      <c r="N48" s="38">
        <v>0</v>
      </c>
      <c r="O48" s="38">
        <f t="shared" si="4"/>
        <v>0</v>
      </c>
      <c r="P48" s="40" t="s">
        <v>59</v>
      </c>
      <c r="Z48" s="38">
        <f t="shared" si="5"/>
        <v>0</v>
      </c>
      <c r="AB48" s="38">
        <f t="shared" si="6"/>
        <v>0</v>
      </c>
      <c r="AC48" s="38">
        <f t="shared" si="7"/>
        <v>0</v>
      </c>
      <c r="AD48" s="38">
        <f t="shared" si="8"/>
        <v>0</v>
      </c>
      <c r="AE48" s="38">
        <f t="shared" si="9"/>
        <v>0</v>
      </c>
      <c r="AF48" s="38">
        <f t="shared" si="10"/>
        <v>0</v>
      </c>
      <c r="AG48" s="38">
        <f t="shared" si="11"/>
        <v>0</v>
      </c>
      <c r="AH48" s="38">
        <f t="shared" si="12"/>
        <v>0</v>
      </c>
      <c r="AI48" s="13" t="s">
        <v>51</v>
      </c>
      <c r="AJ48" s="38">
        <f t="shared" si="13"/>
        <v>0</v>
      </c>
      <c r="AK48" s="38">
        <f t="shared" si="14"/>
        <v>0</v>
      </c>
      <c r="AL48" s="38">
        <f t="shared" si="15"/>
        <v>0</v>
      </c>
      <c r="AN48" s="38">
        <v>21</v>
      </c>
      <c r="AO48" s="38">
        <f t="shared" si="26"/>
        <v>0</v>
      </c>
      <c r="AP48" s="38">
        <f t="shared" si="27"/>
        <v>0</v>
      </c>
      <c r="AQ48" s="41" t="s">
        <v>77</v>
      </c>
      <c r="AV48" s="38">
        <f t="shared" si="16"/>
        <v>0</v>
      </c>
      <c r="AW48" s="38">
        <f t="shared" si="17"/>
        <v>0</v>
      </c>
      <c r="AX48" s="38">
        <f t="shared" si="18"/>
        <v>0</v>
      </c>
      <c r="AY48" s="41" t="s">
        <v>60</v>
      </c>
      <c r="AZ48" s="41" t="s">
        <v>61</v>
      </c>
      <c r="BA48" s="13" t="s">
        <v>62</v>
      </c>
      <c r="BC48" s="38">
        <f t="shared" si="19"/>
        <v>0</v>
      </c>
      <c r="BD48" s="38">
        <f t="shared" si="20"/>
        <v>0</v>
      </c>
      <c r="BE48" s="38">
        <v>0</v>
      </c>
      <c r="BF48" s="38">
        <f t="shared" si="21"/>
        <v>0</v>
      </c>
      <c r="BH48" s="38">
        <f t="shared" si="22"/>
        <v>0</v>
      </c>
      <c r="BI48" s="38">
        <f t="shared" si="23"/>
        <v>0</v>
      </c>
      <c r="BJ48" s="38">
        <f t="shared" si="24"/>
        <v>0</v>
      </c>
      <c r="BK48" s="38"/>
      <c r="BL48" s="38">
        <v>96</v>
      </c>
      <c r="BW48" s="38">
        <f t="shared" si="25"/>
        <v>21</v>
      </c>
      <c r="BX48" s="5" t="s">
        <v>155</v>
      </c>
    </row>
    <row r="49" spans="1:76" x14ac:dyDescent="0.25">
      <c r="A49" s="2" t="s">
        <v>156</v>
      </c>
      <c r="B49" s="3" t="s">
        <v>51</v>
      </c>
      <c r="C49" s="3" t="s">
        <v>157</v>
      </c>
      <c r="D49" s="113" t="s">
        <v>158</v>
      </c>
      <c r="E49" s="110"/>
      <c r="F49" s="3" t="s">
        <v>134</v>
      </c>
      <c r="G49" s="38">
        <v>0.17599999999999999</v>
      </c>
      <c r="H49" s="103"/>
      <c r="I49" s="39">
        <v>21</v>
      </c>
      <c r="J49" s="38">
        <f t="shared" si="0"/>
        <v>0</v>
      </c>
      <c r="K49" s="38">
        <f t="shared" si="1"/>
        <v>0</v>
      </c>
      <c r="L49" s="38">
        <f t="shared" si="2"/>
        <v>0</v>
      </c>
      <c r="M49" s="38">
        <f t="shared" si="3"/>
        <v>0</v>
      </c>
      <c r="N49" s="38">
        <v>0</v>
      </c>
      <c r="O49" s="38">
        <f t="shared" si="4"/>
        <v>0</v>
      </c>
      <c r="P49" s="40" t="s">
        <v>59</v>
      </c>
      <c r="Z49" s="38">
        <f t="shared" si="5"/>
        <v>0</v>
      </c>
      <c r="AB49" s="38">
        <f t="shared" si="6"/>
        <v>0</v>
      </c>
      <c r="AC49" s="38">
        <f t="shared" si="7"/>
        <v>0</v>
      </c>
      <c r="AD49" s="38">
        <f t="shared" si="8"/>
        <v>0</v>
      </c>
      <c r="AE49" s="38">
        <f t="shared" si="9"/>
        <v>0</v>
      </c>
      <c r="AF49" s="38">
        <f t="shared" si="10"/>
        <v>0</v>
      </c>
      <c r="AG49" s="38">
        <f t="shared" si="11"/>
        <v>0</v>
      </c>
      <c r="AH49" s="38">
        <f t="shared" si="12"/>
        <v>0</v>
      </c>
      <c r="AI49" s="13" t="s">
        <v>51</v>
      </c>
      <c r="AJ49" s="38">
        <f t="shared" si="13"/>
        <v>0</v>
      </c>
      <c r="AK49" s="38">
        <f t="shared" si="14"/>
        <v>0</v>
      </c>
      <c r="AL49" s="38">
        <f t="shared" si="15"/>
        <v>0</v>
      </c>
      <c r="AN49" s="38">
        <v>21</v>
      </c>
      <c r="AO49" s="38">
        <f t="shared" si="26"/>
        <v>0</v>
      </c>
      <c r="AP49" s="38">
        <f t="shared" si="27"/>
        <v>0</v>
      </c>
      <c r="AQ49" s="41" t="s">
        <v>77</v>
      </c>
      <c r="AV49" s="38">
        <f t="shared" si="16"/>
        <v>0</v>
      </c>
      <c r="AW49" s="38">
        <f t="shared" si="17"/>
        <v>0</v>
      </c>
      <c r="AX49" s="38">
        <f t="shared" si="18"/>
        <v>0</v>
      </c>
      <c r="AY49" s="41" t="s">
        <v>60</v>
      </c>
      <c r="AZ49" s="41" t="s">
        <v>61</v>
      </c>
      <c r="BA49" s="13" t="s">
        <v>62</v>
      </c>
      <c r="BC49" s="38">
        <f t="shared" si="19"/>
        <v>0</v>
      </c>
      <c r="BD49" s="38">
        <f t="shared" si="20"/>
        <v>0</v>
      </c>
      <c r="BE49" s="38">
        <v>0</v>
      </c>
      <c r="BF49" s="38">
        <f t="shared" si="21"/>
        <v>0</v>
      </c>
      <c r="BH49" s="38">
        <f t="shared" si="22"/>
        <v>0</v>
      </c>
      <c r="BI49" s="38">
        <f t="shared" si="23"/>
        <v>0</v>
      </c>
      <c r="BJ49" s="38">
        <f t="shared" si="24"/>
        <v>0</v>
      </c>
      <c r="BK49" s="38"/>
      <c r="BL49" s="38">
        <v>96</v>
      </c>
      <c r="BW49" s="38">
        <f t="shared" si="25"/>
        <v>21</v>
      </c>
      <c r="BX49" s="5" t="s">
        <v>158</v>
      </c>
    </row>
    <row r="50" spans="1:76" x14ac:dyDescent="0.25">
      <c r="A50" s="2" t="s">
        <v>159</v>
      </c>
      <c r="B50" s="3" t="s">
        <v>51</v>
      </c>
      <c r="C50" s="3" t="s">
        <v>160</v>
      </c>
      <c r="D50" s="113" t="s">
        <v>161</v>
      </c>
      <c r="E50" s="110"/>
      <c r="F50" s="3" t="s">
        <v>134</v>
      </c>
      <c r="G50" s="38">
        <v>0.17027</v>
      </c>
      <c r="H50" s="103"/>
      <c r="I50" s="39">
        <v>21</v>
      </c>
      <c r="J50" s="38">
        <f t="shared" si="0"/>
        <v>0</v>
      </c>
      <c r="K50" s="38">
        <f t="shared" si="1"/>
        <v>0</v>
      </c>
      <c r="L50" s="38">
        <f t="shared" si="2"/>
        <v>0</v>
      </c>
      <c r="M50" s="38">
        <f t="shared" si="3"/>
        <v>0</v>
      </c>
      <c r="N50" s="38">
        <v>0</v>
      </c>
      <c r="O50" s="38">
        <f t="shared" si="4"/>
        <v>0</v>
      </c>
      <c r="P50" s="40" t="s">
        <v>59</v>
      </c>
      <c r="Z50" s="38">
        <f t="shared" si="5"/>
        <v>0</v>
      </c>
      <c r="AB50" s="38">
        <f t="shared" si="6"/>
        <v>0</v>
      </c>
      <c r="AC50" s="38">
        <f t="shared" si="7"/>
        <v>0</v>
      </c>
      <c r="AD50" s="38">
        <f t="shared" si="8"/>
        <v>0</v>
      </c>
      <c r="AE50" s="38">
        <f t="shared" si="9"/>
        <v>0</v>
      </c>
      <c r="AF50" s="38">
        <f t="shared" si="10"/>
        <v>0</v>
      </c>
      <c r="AG50" s="38">
        <f t="shared" si="11"/>
        <v>0</v>
      </c>
      <c r="AH50" s="38">
        <f t="shared" si="12"/>
        <v>0</v>
      </c>
      <c r="AI50" s="13" t="s">
        <v>51</v>
      </c>
      <c r="AJ50" s="38">
        <f t="shared" si="13"/>
        <v>0</v>
      </c>
      <c r="AK50" s="38">
        <f t="shared" si="14"/>
        <v>0</v>
      </c>
      <c r="AL50" s="38">
        <f t="shared" si="15"/>
        <v>0</v>
      </c>
      <c r="AN50" s="38">
        <v>21</v>
      </c>
      <c r="AO50" s="38">
        <f t="shared" si="26"/>
        <v>0</v>
      </c>
      <c r="AP50" s="38">
        <f t="shared" si="27"/>
        <v>0</v>
      </c>
      <c r="AQ50" s="41" t="s">
        <v>77</v>
      </c>
      <c r="AV50" s="38">
        <f t="shared" si="16"/>
        <v>0</v>
      </c>
      <c r="AW50" s="38">
        <f t="shared" si="17"/>
        <v>0</v>
      </c>
      <c r="AX50" s="38">
        <f t="shared" si="18"/>
        <v>0</v>
      </c>
      <c r="AY50" s="41" t="s">
        <v>60</v>
      </c>
      <c r="AZ50" s="41" t="s">
        <v>61</v>
      </c>
      <c r="BA50" s="13" t="s">
        <v>62</v>
      </c>
      <c r="BC50" s="38">
        <f t="shared" si="19"/>
        <v>0</v>
      </c>
      <c r="BD50" s="38">
        <f t="shared" si="20"/>
        <v>0</v>
      </c>
      <c r="BE50" s="38">
        <v>0</v>
      </c>
      <c r="BF50" s="38">
        <f t="shared" si="21"/>
        <v>0</v>
      </c>
      <c r="BH50" s="38">
        <f t="shared" si="22"/>
        <v>0</v>
      </c>
      <c r="BI50" s="38">
        <f t="shared" si="23"/>
        <v>0</v>
      </c>
      <c r="BJ50" s="38">
        <f t="shared" si="24"/>
        <v>0</v>
      </c>
      <c r="BK50" s="38"/>
      <c r="BL50" s="38">
        <v>96</v>
      </c>
      <c r="BW50" s="38">
        <f t="shared" si="25"/>
        <v>21</v>
      </c>
      <c r="BX50" s="5" t="s">
        <v>161</v>
      </c>
    </row>
    <row r="51" spans="1:76" x14ac:dyDescent="0.25">
      <c r="A51" s="2" t="s">
        <v>162</v>
      </c>
      <c r="B51" s="3" t="s">
        <v>51</v>
      </c>
      <c r="C51" s="3" t="s">
        <v>163</v>
      </c>
      <c r="D51" s="113" t="s">
        <v>164</v>
      </c>
      <c r="E51" s="110"/>
      <c r="F51" s="3" t="s">
        <v>134</v>
      </c>
      <c r="G51" s="38">
        <v>0.1366</v>
      </c>
      <c r="H51" s="103"/>
      <c r="I51" s="39">
        <v>21</v>
      </c>
      <c r="J51" s="38">
        <f t="shared" si="0"/>
        <v>0</v>
      </c>
      <c r="K51" s="38">
        <f t="shared" si="1"/>
        <v>0</v>
      </c>
      <c r="L51" s="38">
        <f t="shared" si="2"/>
        <v>0</v>
      </c>
      <c r="M51" s="38">
        <f t="shared" si="3"/>
        <v>0</v>
      </c>
      <c r="N51" s="38">
        <v>0</v>
      </c>
      <c r="O51" s="38">
        <f t="shared" si="4"/>
        <v>0</v>
      </c>
      <c r="P51" s="40" t="s">
        <v>59</v>
      </c>
      <c r="Z51" s="38">
        <f t="shared" si="5"/>
        <v>0</v>
      </c>
      <c r="AB51" s="38">
        <f t="shared" si="6"/>
        <v>0</v>
      </c>
      <c r="AC51" s="38">
        <f t="shared" si="7"/>
        <v>0</v>
      </c>
      <c r="AD51" s="38">
        <f t="shared" si="8"/>
        <v>0</v>
      </c>
      <c r="AE51" s="38">
        <f t="shared" si="9"/>
        <v>0</v>
      </c>
      <c r="AF51" s="38">
        <f t="shared" si="10"/>
        <v>0</v>
      </c>
      <c r="AG51" s="38">
        <f t="shared" si="11"/>
        <v>0</v>
      </c>
      <c r="AH51" s="38">
        <f t="shared" si="12"/>
        <v>0</v>
      </c>
      <c r="AI51" s="13" t="s">
        <v>51</v>
      </c>
      <c r="AJ51" s="38">
        <f t="shared" si="13"/>
        <v>0</v>
      </c>
      <c r="AK51" s="38">
        <f t="shared" si="14"/>
        <v>0</v>
      </c>
      <c r="AL51" s="38">
        <f t="shared" si="15"/>
        <v>0</v>
      </c>
      <c r="AN51" s="38">
        <v>21</v>
      </c>
      <c r="AO51" s="38">
        <f t="shared" si="26"/>
        <v>0</v>
      </c>
      <c r="AP51" s="38">
        <f t="shared" si="27"/>
        <v>0</v>
      </c>
      <c r="AQ51" s="41" t="s">
        <v>77</v>
      </c>
      <c r="AV51" s="38">
        <f t="shared" si="16"/>
        <v>0</v>
      </c>
      <c r="AW51" s="38">
        <f t="shared" si="17"/>
        <v>0</v>
      </c>
      <c r="AX51" s="38">
        <f t="shared" si="18"/>
        <v>0</v>
      </c>
      <c r="AY51" s="41" t="s">
        <v>60</v>
      </c>
      <c r="AZ51" s="41" t="s">
        <v>61</v>
      </c>
      <c r="BA51" s="13" t="s">
        <v>62</v>
      </c>
      <c r="BC51" s="38">
        <f t="shared" si="19"/>
        <v>0</v>
      </c>
      <c r="BD51" s="38">
        <f t="shared" si="20"/>
        <v>0</v>
      </c>
      <c r="BE51" s="38">
        <v>0</v>
      </c>
      <c r="BF51" s="38">
        <f t="shared" si="21"/>
        <v>0</v>
      </c>
      <c r="BH51" s="38">
        <f t="shared" si="22"/>
        <v>0</v>
      </c>
      <c r="BI51" s="38">
        <f t="shared" si="23"/>
        <v>0</v>
      </c>
      <c r="BJ51" s="38">
        <f t="shared" si="24"/>
        <v>0</v>
      </c>
      <c r="BK51" s="38"/>
      <c r="BL51" s="38">
        <v>96</v>
      </c>
      <c r="BW51" s="38">
        <f t="shared" si="25"/>
        <v>21</v>
      </c>
      <c r="BX51" s="5" t="s">
        <v>164</v>
      </c>
    </row>
    <row r="52" spans="1:76" x14ac:dyDescent="0.25">
      <c r="A52" s="33" t="s">
        <v>50</v>
      </c>
      <c r="B52" s="34" t="s">
        <v>51</v>
      </c>
      <c r="C52" s="34" t="s">
        <v>165</v>
      </c>
      <c r="D52" s="191" t="s">
        <v>166</v>
      </c>
      <c r="E52" s="192"/>
      <c r="F52" s="36" t="s">
        <v>4</v>
      </c>
      <c r="G52" s="36" t="s">
        <v>4</v>
      </c>
      <c r="H52" s="36" t="s">
        <v>4</v>
      </c>
      <c r="I52" s="36" t="s">
        <v>4</v>
      </c>
      <c r="J52" s="1">
        <f>SUM(J53:J65)</f>
        <v>0</v>
      </c>
      <c r="K52" s="1">
        <f>SUM(K53:K65)</f>
        <v>0</v>
      </c>
      <c r="L52" s="1">
        <f>SUM(L53:L65)</f>
        <v>0</v>
      </c>
      <c r="M52" s="1">
        <f>SUM(M53:M65)</f>
        <v>0</v>
      </c>
      <c r="N52" s="13" t="s">
        <v>50</v>
      </c>
      <c r="O52" s="1">
        <f>SUM(O53:O65)</f>
        <v>1.07</v>
      </c>
      <c r="P52" s="37" t="s">
        <v>50</v>
      </c>
      <c r="AI52" s="13" t="s">
        <v>51</v>
      </c>
      <c r="AS52" s="1">
        <f>SUM(AJ53:AJ65)</f>
        <v>0</v>
      </c>
      <c r="AT52" s="1">
        <f>SUM(AK53:AK65)</f>
        <v>0</v>
      </c>
      <c r="AU52" s="1">
        <f>SUM(AL53:AL65)</f>
        <v>0</v>
      </c>
    </row>
    <row r="53" spans="1:76" x14ac:dyDescent="0.25">
      <c r="A53" s="2" t="s">
        <v>167</v>
      </c>
      <c r="B53" s="3" t="s">
        <v>51</v>
      </c>
      <c r="C53" s="3" t="s">
        <v>168</v>
      </c>
      <c r="D53" s="113" t="s">
        <v>169</v>
      </c>
      <c r="E53" s="110"/>
      <c r="F53" s="3" t="s">
        <v>66</v>
      </c>
      <c r="G53" s="38">
        <v>2</v>
      </c>
      <c r="H53" s="103"/>
      <c r="I53" s="39">
        <v>21</v>
      </c>
      <c r="J53" s="38">
        <f>ROUND(G53*AO53,2)</f>
        <v>0</v>
      </c>
      <c r="K53" s="38">
        <f>ROUND(G53*AP53,2)</f>
        <v>0</v>
      </c>
      <c r="L53" s="38">
        <f>ROUND(G53*H53,2)</f>
        <v>0</v>
      </c>
      <c r="M53" s="38">
        <f>L53*(1+BW53/100)</f>
        <v>0</v>
      </c>
      <c r="N53" s="38">
        <v>0.1</v>
      </c>
      <c r="O53" s="38">
        <f>G53*N53</f>
        <v>0.2</v>
      </c>
      <c r="P53" s="40" t="s">
        <v>114</v>
      </c>
      <c r="Z53" s="38">
        <f>ROUND(IF(AQ53="5",BJ53,0),2)</f>
        <v>0</v>
      </c>
      <c r="AB53" s="38">
        <f>ROUND(IF(AQ53="1",BH53,0),2)</f>
        <v>0</v>
      </c>
      <c r="AC53" s="38">
        <f>ROUND(IF(AQ53="1",BI53,0),2)</f>
        <v>0</v>
      </c>
      <c r="AD53" s="38">
        <f>ROUND(IF(AQ53="7",BH53,0),2)</f>
        <v>0</v>
      </c>
      <c r="AE53" s="38">
        <f>ROUND(IF(AQ53="7",BI53,0),2)</f>
        <v>0</v>
      </c>
      <c r="AF53" s="38">
        <f>ROUND(IF(AQ53="2",BH53,0),2)</f>
        <v>0</v>
      </c>
      <c r="AG53" s="38">
        <f>ROUND(IF(AQ53="2",BI53,0),2)</f>
        <v>0</v>
      </c>
      <c r="AH53" s="38">
        <f>ROUND(IF(AQ53="0",BJ53,0),2)</f>
        <v>0</v>
      </c>
      <c r="AI53" s="13" t="s">
        <v>51</v>
      </c>
      <c r="AJ53" s="38">
        <f>IF(AN53=0,L53,0)</f>
        <v>0</v>
      </c>
      <c r="AK53" s="38">
        <f>IF(AN53=12,L53,0)</f>
        <v>0</v>
      </c>
      <c r="AL53" s="38">
        <f>IF(AN53=21,L53,0)</f>
        <v>0</v>
      </c>
      <c r="AN53" s="38">
        <v>21</v>
      </c>
      <c r="AO53" s="38">
        <f>H53*1</f>
        <v>0</v>
      </c>
      <c r="AP53" s="38">
        <f>H53*(1-1)</f>
        <v>0</v>
      </c>
      <c r="AQ53" s="41" t="s">
        <v>55</v>
      </c>
      <c r="AV53" s="38">
        <f>ROUND(AW53+AX53,2)</f>
        <v>0</v>
      </c>
      <c r="AW53" s="38">
        <f>ROUND(G53*AO53,2)</f>
        <v>0</v>
      </c>
      <c r="AX53" s="38">
        <f>ROUND(G53*AP53,2)</f>
        <v>0</v>
      </c>
      <c r="AY53" s="41" t="s">
        <v>170</v>
      </c>
      <c r="AZ53" s="41" t="s">
        <v>61</v>
      </c>
      <c r="BA53" s="13" t="s">
        <v>62</v>
      </c>
      <c r="BC53" s="38">
        <f>AW53+AX53</f>
        <v>0</v>
      </c>
      <c r="BD53" s="38">
        <f>H53/(100-BE53)*100</f>
        <v>0</v>
      </c>
      <c r="BE53" s="38">
        <v>0</v>
      </c>
      <c r="BF53" s="38">
        <f>O53</f>
        <v>0.2</v>
      </c>
      <c r="BH53" s="38">
        <f>G53*AO53</f>
        <v>0</v>
      </c>
      <c r="BI53" s="38">
        <f>G53*AP53</f>
        <v>0</v>
      </c>
      <c r="BJ53" s="38">
        <f>G53*H53</f>
        <v>0</v>
      </c>
      <c r="BK53" s="38"/>
      <c r="BL53" s="38"/>
      <c r="BW53" s="38">
        <f>I53</f>
        <v>21</v>
      </c>
      <c r="BX53" s="5" t="s">
        <v>169</v>
      </c>
    </row>
    <row r="54" spans="1:76" x14ac:dyDescent="0.25">
      <c r="A54" s="42"/>
      <c r="C54" s="43" t="s">
        <v>67</v>
      </c>
      <c r="D54" s="179" t="s">
        <v>171</v>
      </c>
      <c r="E54" s="180"/>
      <c r="F54" s="180"/>
      <c r="G54" s="180"/>
      <c r="H54" s="180"/>
      <c r="I54" s="180"/>
      <c r="J54" s="180"/>
      <c r="K54" s="180"/>
      <c r="L54" s="180"/>
      <c r="M54" s="180"/>
      <c r="N54" s="180"/>
      <c r="O54" s="180"/>
      <c r="P54" s="181"/>
      <c r="BX54" s="44" t="s">
        <v>171</v>
      </c>
    </row>
    <row r="55" spans="1:76" x14ac:dyDescent="0.25">
      <c r="A55" s="2" t="s">
        <v>172</v>
      </c>
      <c r="B55" s="3" t="s">
        <v>51</v>
      </c>
      <c r="C55" s="3" t="s">
        <v>173</v>
      </c>
      <c r="D55" s="113" t="s">
        <v>174</v>
      </c>
      <c r="E55" s="110"/>
      <c r="F55" s="3" t="s">
        <v>66</v>
      </c>
      <c r="G55" s="38">
        <v>2</v>
      </c>
      <c r="H55" s="103"/>
      <c r="I55" s="39">
        <v>21</v>
      </c>
      <c r="J55" s="38">
        <f>ROUND(G55*AO55,2)</f>
        <v>0</v>
      </c>
      <c r="K55" s="38">
        <f>ROUND(G55*AP55,2)</f>
        <v>0</v>
      </c>
      <c r="L55" s="38">
        <f>ROUND(G55*H55,2)</f>
        <v>0</v>
      </c>
      <c r="M55" s="38">
        <f>L55*(1+BW55/100)</f>
        <v>0</v>
      </c>
      <c r="N55" s="38">
        <v>0.08</v>
      </c>
      <c r="O55" s="38">
        <f>G55*N55</f>
        <v>0.16</v>
      </c>
      <c r="P55" s="40" t="s">
        <v>114</v>
      </c>
      <c r="Z55" s="38">
        <f>ROUND(IF(AQ55="5",BJ55,0),2)</f>
        <v>0</v>
      </c>
      <c r="AB55" s="38">
        <f>ROUND(IF(AQ55="1",BH55,0),2)</f>
        <v>0</v>
      </c>
      <c r="AC55" s="38">
        <f>ROUND(IF(AQ55="1",BI55,0),2)</f>
        <v>0</v>
      </c>
      <c r="AD55" s="38">
        <f>ROUND(IF(AQ55="7",BH55,0),2)</f>
        <v>0</v>
      </c>
      <c r="AE55" s="38">
        <f>ROUND(IF(AQ55="7",BI55,0),2)</f>
        <v>0</v>
      </c>
      <c r="AF55" s="38">
        <f>ROUND(IF(AQ55="2",BH55,0),2)</f>
        <v>0</v>
      </c>
      <c r="AG55" s="38">
        <f>ROUND(IF(AQ55="2",BI55,0),2)</f>
        <v>0</v>
      </c>
      <c r="AH55" s="38">
        <f>ROUND(IF(AQ55="0",BJ55,0),2)</f>
        <v>0</v>
      </c>
      <c r="AI55" s="13" t="s">
        <v>51</v>
      </c>
      <c r="AJ55" s="38">
        <f>IF(AN55=0,L55,0)</f>
        <v>0</v>
      </c>
      <c r="AK55" s="38">
        <f>IF(AN55=12,L55,0)</f>
        <v>0</v>
      </c>
      <c r="AL55" s="38">
        <f>IF(AN55=21,L55,0)</f>
        <v>0</v>
      </c>
      <c r="AN55" s="38">
        <v>21</v>
      </c>
      <c r="AO55" s="38">
        <f>H55*1</f>
        <v>0</v>
      </c>
      <c r="AP55" s="38">
        <f>H55*(1-1)</f>
        <v>0</v>
      </c>
      <c r="AQ55" s="41" t="s">
        <v>55</v>
      </c>
      <c r="AV55" s="38">
        <f>ROUND(AW55+AX55,2)</f>
        <v>0</v>
      </c>
      <c r="AW55" s="38">
        <f>ROUND(G55*AO55,2)</f>
        <v>0</v>
      </c>
      <c r="AX55" s="38">
        <f>ROUND(G55*AP55,2)</f>
        <v>0</v>
      </c>
      <c r="AY55" s="41" t="s">
        <v>170</v>
      </c>
      <c r="AZ55" s="41" t="s">
        <v>61</v>
      </c>
      <c r="BA55" s="13" t="s">
        <v>62</v>
      </c>
      <c r="BC55" s="38">
        <f>AW55+AX55</f>
        <v>0</v>
      </c>
      <c r="BD55" s="38">
        <f>H55/(100-BE55)*100</f>
        <v>0</v>
      </c>
      <c r="BE55" s="38">
        <v>0</v>
      </c>
      <c r="BF55" s="38">
        <f>O55</f>
        <v>0.16</v>
      </c>
      <c r="BH55" s="38">
        <f>G55*AO55</f>
        <v>0</v>
      </c>
      <c r="BI55" s="38">
        <f>G55*AP55</f>
        <v>0</v>
      </c>
      <c r="BJ55" s="38">
        <f>G55*H55</f>
        <v>0</v>
      </c>
      <c r="BK55" s="38"/>
      <c r="BL55" s="38"/>
      <c r="BW55" s="38">
        <f>I55</f>
        <v>21</v>
      </c>
      <c r="BX55" s="5" t="s">
        <v>174</v>
      </c>
    </row>
    <row r="56" spans="1:76" x14ac:dyDescent="0.25">
      <c r="A56" s="42"/>
      <c r="C56" s="43" t="s">
        <v>67</v>
      </c>
      <c r="D56" s="179" t="s">
        <v>171</v>
      </c>
      <c r="E56" s="180"/>
      <c r="F56" s="180"/>
      <c r="G56" s="180"/>
      <c r="H56" s="180"/>
      <c r="I56" s="180"/>
      <c r="J56" s="180"/>
      <c r="K56" s="180"/>
      <c r="L56" s="180"/>
      <c r="M56" s="180"/>
      <c r="N56" s="180"/>
      <c r="O56" s="180"/>
      <c r="P56" s="181"/>
      <c r="BX56" s="44" t="s">
        <v>171</v>
      </c>
    </row>
    <row r="57" spans="1:76" x14ac:dyDescent="0.25">
      <c r="A57" s="2" t="s">
        <v>175</v>
      </c>
      <c r="B57" s="3" t="s">
        <v>51</v>
      </c>
      <c r="C57" s="3" t="s">
        <v>176</v>
      </c>
      <c r="D57" s="113" t="s">
        <v>177</v>
      </c>
      <c r="E57" s="110"/>
      <c r="F57" s="3" t="s">
        <v>66</v>
      </c>
      <c r="G57" s="38">
        <v>2</v>
      </c>
      <c r="H57" s="103"/>
      <c r="I57" s="39">
        <v>21</v>
      </c>
      <c r="J57" s="38">
        <f>ROUND(G57*AO57,2)</f>
        <v>0</v>
      </c>
      <c r="K57" s="38">
        <f>ROUND(G57*AP57,2)</f>
        <v>0</v>
      </c>
      <c r="L57" s="38">
        <f>ROUND(G57*H57,2)</f>
        <v>0</v>
      </c>
      <c r="M57" s="38">
        <f>L57*(1+BW57/100)</f>
        <v>0</v>
      </c>
      <c r="N57" s="38">
        <v>5.5E-2</v>
      </c>
      <c r="O57" s="38">
        <f>G57*N57</f>
        <v>0.11</v>
      </c>
      <c r="P57" s="40" t="s">
        <v>114</v>
      </c>
      <c r="Z57" s="38">
        <f>ROUND(IF(AQ57="5",BJ57,0),2)</f>
        <v>0</v>
      </c>
      <c r="AB57" s="38">
        <f>ROUND(IF(AQ57="1",BH57,0),2)</f>
        <v>0</v>
      </c>
      <c r="AC57" s="38">
        <f>ROUND(IF(AQ57="1",BI57,0),2)</f>
        <v>0</v>
      </c>
      <c r="AD57" s="38">
        <f>ROUND(IF(AQ57="7",BH57,0),2)</f>
        <v>0</v>
      </c>
      <c r="AE57" s="38">
        <f>ROUND(IF(AQ57="7",BI57,0),2)</f>
        <v>0</v>
      </c>
      <c r="AF57" s="38">
        <f>ROUND(IF(AQ57="2",BH57,0),2)</f>
        <v>0</v>
      </c>
      <c r="AG57" s="38">
        <f>ROUND(IF(AQ57="2",BI57,0),2)</f>
        <v>0</v>
      </c>
      <c r="AH57" s="38">
        <f>ROUND(IF(AQ57="0",BJ57,0),2)</f>
        <v>0</v>
      </c>
      <c r="AI57" s="13" t="s">
        <v>51</v>
      </c>
      <c r="AJ57" s="38">
        <f>IF(AN57=0,L57,0)</f>
        <v>0</v>
      </c>
      <c r="AK57" s="38">
        <f>IF(AN57=12,L57,0)</f>
        <v>0</v>
      </c>
      <c r="AL57" s="38">
        <f>IF(AN57=21,L57,0)</f>
        <v>0</v>
      </c>
      <c r="AN57" s="38">
        <v>21</v>
      </c>
      <c r="AO57" s="38">
        <f>H57*1</f>
        <v>0</v>
      </c>
      <c r="AP57" s="38">
        <f>H57*(1-1)</f>
        <v>0</v>
      </c>
      <c r="AQ57" s="41" t="s">
        <v>55</v>
      </c>
      <c r="AV57" s="38">
        <f>ROUND(AW57+AX57,2)</f>
        <v>0</v>
      </c>
      <c r="AW57" s="38">
        <f>ROUND(G57*AO57,2)</f>
        <v>0</v>
      </c>
      <c r="AX57" s="38">
        <f>ROUND(G57*AP57,2)</f>
        <v>0</v>
      </c>
      <c r="AY57" s="41" t="s">
        <v>170</v>
      </c>
      <c r="AZ57" s="41" t="s">
        <v>61</v>
      </c>
      <c r="BA57" s="13" t="s">
        <v>62</v>
      </c>
      <c r="BC57" s="38">
        <f>AW57+AX57</f>
        <v>0</v>
      </c>
      <c r="BD57" s="38">
        <f>H57/(100-BE57)*100</f>
        <v>0</v>
      </c>
      <c r="BE57" s="38">
        <v>0</v>
      </c>
      <c r="BF57" s="38">
        <f>O57</f>
        <v>0.11</v>
      </c>
      <c r="BH57" s="38">
        <f>G57*AO57</f>
        <v>0</v>
      </c>
      <c r="BI57" s="38">
        <f>G57*AP57</f>
        <v>0</v>
      </c>
      <c r="BJ57" s="38">
        <f>G57*H57</f>
        <v>0</v>
      </c>
      <c r="BK57" s="38"/>
      <c r="BL57" s="38"/>
      <c r="BW57" s="38">
        <f>I57</f>
        <v>21</v>
      </c>
      <c r="BX57" s="5" t="s">
        <v>177</v>
      </c>
    </row>
    <row r="58" spans="1:76" x14ac:dyDescent="0.25">
      <c r="A58" s="42"/>
      <c r="C58" s="43" t="s">
        <v>67</v>
      </c>
      <c r="D58" s="179" t="s">
        <v>171</v>
      </c>
      <c r="E58" s="180"/>
      <c r="F58" s="180"/>
      <c r="G58" s="180"/>
      <c r="H58" s="180"/>
      <c r="I58" s="180"/>
      <c r="J58" s="180"/>
      <c r="K58" s="180"/>
      <c r="L58" s="180"/>
      <c r="M58" s="180"/>
      <c r="N58" s="180"/>
      <c r="O58" s="180"/>
      <c r="P58" s="181"/>
      <c r="BX58" s="44" t="s">
        <v>171</v>
      </c>
    </row>
    <row r="59" spans="1:76" x14ac:dyDescent="0.25">
      <c r="A59" s="2" t="s">
        <v>178</v>
      </c>
      <c r="B59" s="3" t="s">
        <v>51</v>
      </c>
      <c r="C59" s="3" t="s">
        <v>179</v>
      </c>
      <c r="D59" s="113" t="s">
        <v>180</v>
      </c>
      <c r="E59" s="110"/>
      <c r="F59" s="3" t="s">
        <v>66</v>
      </c>
      <c r="G59" s="38">
        <v>6</v>
      </c>
      <c r="H59" s="103"/>
      <c r="I59" s="39">
        <v>21</v>
      </c>
      <c r="J59" s="38">
        <f>ROUND(G59*AO59,2)</f>
        <v>0</v>
      </c>
      <c r="K59" s="38">
        <f>ROUND(G59*AP59,2)</f>
        <v>0</v>
      </c>
      <c r="L59" s="38">
        <f>ROUND(G59*H59,2)</f>
        <v>0</v>
      </c>
      <c r="M59" s="38">
        <f>L59*(1+BW59/100)</f>
        <v>0</v>
      </c>
      <c r="N59" s="38">
        <v>2.5000000000000001E-2</v>
      </c>
      <c r="O59" s="38">
        <f>G59*N59</f>
        <v>0.15000000000000002</v>
      </c>
      <c r="P59" s="40" t="s">
        <v>114</v>
      </c>
      <c r="Z59" s="38">
        <f>ROUND(IF(AQ59="5",BJ59,0),2)</f>
        <v>0</v>
      </c>
      <c r="AB59" s="38">
        <f>ROUND(IF(AQ59="1",BH59,0),2)</f>
        <v>0</v>
      </c>
      <c r="AC59" s="38">
        <f>ROUND(IF(AQ59="1",BI59,0),2)</f>
        <v>0</v>
      </c>
      <c r="AD59" s="38">
        <f>ROUND(IF(AQ59="7",BH59,0),2)</f>
        <v>0</v>
      </c>
      <c r="AE59" s="38">
        <f>ROUND(IF(AQ59="7",BI59,0),2)</f>
        <v>0</v>
      </c>
      <c r="AF59" s="38">
        <f>ROUND(IF(AQ59="2",BH59,0),2)</f>
        <v>0</v>
      </c>
      <c r="AG59" s="38">
        <f>ROUND(IF(AQ59="2",BI59,0),2)</f>
        <v>0</v>
      </c>
      <c r="AH59" s="38">
        <f>ROUND(IF(AQ59="0",BJ59,0),2)</f>
        <v>0</v>
      </c>
      <c r="AI59" s="13" t="s">
        <v>51</v>
      </c>
      <c r="AJ59" s="38">
        <f>IF(AN59=0,L59,0)</f>
        <v>0</v>
      </c>
      <c r="AK59" s="38">
        <f>IF(AN59=12,L59,0)</f>
        <v>0</v>
      </c>
      <c r="AL59" s="38">
        <f>IF(AN59=21,L59,0)</f>
        <v>0</v>
      </c>
      <c r="AN59" s="38">
        <v>21</v>
      </c>
      <c r="AO59" s="38">
        <f>H59*1</f>
        <v>0</v>
      </c>
      <c r="AP59" s="38">
        <f>H59*(1-1)</f>
        <v>0</v>
      </c>
      <c r="AQ59" s="41" t="s">
        <v>55</v>
      </c>
      <c r="AV59" s="38">
        <f>ROUND(AW59+AX59,2)</f>
        <v>0</v>
      </c>
      <c r="AW59" s="38">
        <f>ROUND(G59*AO59,2)</f>
        <v>0</v>
      </c>
      <c r="AX59" s="38">
        <f>ROUND(G59*AP59,2)</f>
        <v>0</v>
      </c>
      <c r="AY59" s="41" t="s">
        <v>170</v>
      </c>
      <c r="AZ59" s="41" t="s">
        <v>61</v>
      </c>
      <c r="BA59" s="13" t="s">
        <v>62</v>
      </c>
      <c r="BC59" s="38">
        <f>AW59+AX59</f>
        <v>0</v>
      </c>
      <c r="BD59" s="38">
        <f>H59/(100-BE59)*100</f>
        <v>0</v>
      </c>
      <c r="BE59" s="38">
        <v>0</v>
      </c>
      <c r="BF59" s="38">
        <f>O59</f>
        <v>0.15000000000000002</v>
      </c>
      <c r="BH59" s="38">
        <f>G59*AO59</f>
        <v>0</v>
      </c>
      <c r="BI59" s="38">
        <f>G59*AP59</f>
        <v>0</v>
      </c>
      <c r="BJ59" s="38">
        <f>G59*H59</f>
        <v>0</v>
      </c>
      <c r="BK59" s="38"/>
      <c r="BL59" s="38"/>
      <c r="BW59" s="38">
        <f>I59</f>
        <v>21</v>
      </c>
      <c r="BX59" s="5" t="s">
        <v>180</v>
      </c>
    </row>
    <row r="60" spans="1:76" x14ac:dyDescent="0.25">
      <c r="A60" s="42"/>
      <c r="C60" s="43" t="s">
        <v>67</v>
      </c>
      <c r="D60" s="179" t="s">
        <v>171</v>
      </c>
      <c r="E60" s="180"/>
      <c r="F60" s="180"/>
      <c r="G60" s="180"/>
      <c r="H60" s="180"/>
      <c r="I60" s="180"/>
      <c r="J60" s="180"/>
      <c r="K60" s="180"/>
      <c r="L60" s="180"/>
      <c r="M60" s="180"/>
      <c r="N60" s="180"/>
      <c r="O60" s="180"/>
      <c r="P60" s="181"/>
      <c r="BX60" s="44" t="s">
        <v>171</v>
      </c>
    </row>
    <row r="61" spans="1:76" x14ac:dyDescent="0.25">
      <c r="A61" s="2" t="s">
        <v>181</v>
      </c>
      <c r="B61" s="3" t="s">
        <v>51</v>
      </c>
      <c r="C61" s="3" t="s">
        <v>182</v>
      </c>
      <c r="D61" s="113" t="s">
        <v>183</v>
      </c>
      <c r="E61" s="110"/>
      <c r="F61" s="3" t="s">
        <v>66</v>
      </c>
      <c r="G61" s="38">
        <v>1</v>
      </c>
      <c r="H61" s="103"/>
      <c r="I61" s="39">
        <v>21</v>
      </c>
      <c r="J61" s="38">
        <f>ROUND(G61*AO61,2)</f>
        <v>0</v>
      </c>
      <c r="K61" s="38">
        <f>ROUND(G61*AP61,2)</f>
        <v>0</v>
      </c>
      <c r="L61" s="38">
        <f>ROUND(G61*H61,2)</f>
        <v>0</v>
      </c>
      <c r="M61" s="38">
        <f>L61*(1+BW61/100)</f>
        <v>0</v>
      </c>
      <c r="N61" s="38">
        <v>0.05</v>
      </c>
      <c r="O61" s="38">
        <f>G61*N61</f>
        <v>0.05</v>
      </c>
      <c r="P61" s="40" t="s">
        <v>114</v>
      </c>
      <c r="Z61" s="38">
        <f>ROUND(IF(AQ61="5",BJ61,0),2)</f>
        <v>0</v>
      </c>
      <c r="AB61" s="38">
        <f>ROUND(IF(AQ61="1",BH61,0),2)</f>
        <v>0</v>
      </c>
      <c r="AC61" s="38">
        <f>ROUND(IF(AQ61="1",BI61,0),2)</f>
        <v>0</v>
      </c>
      <c r="AD61" s="38">
        <f>ROUND(IF(AQ61="7",BH61,0),2)</f>
        <v>0</v>
      </c>
      <c r="AE61" s="38">
        <f>ROUND(IF(AQ61="7",BI61,0),2)</f>
        <v>0</v>
      </c>
      <c r="AF61" s="38">
        <f>ROUND(IF(AQ61="2",BH61,0),2)</f>
        <v>0</v>
      </c>
      <c r="AG61" s="38">
        <f>ROUND(IF(AQ61="2",BI61,0),2)</f>
        <v>0</v>
      </c>
      <c r="AH61" s="38">
        <f>ROUND(IF(AQ61="0",BJ61,0),2)</f>
        <v>0</v>
      </c>
      <c r="AI61" s="13" t="s">
        <v>51</v>
      </c>
      <c r="AJ61" s="38">
        <f>IF(AN61=0,L61,0)</f>
        <v>0</v>
      </c>
      <c r="AK61" s="38">
        <f>IF(AN61=12,L61,0)</f>
        <v>0</v>
      </c>
      <c r="AL61" s="38">
        <f>IF(AN61=21,L61,0)</f>
        <v>0</v>
      </c>
      <c r="AN61" s="38">
        <v>21</v>
      </c>
      <c r="AO61" s="38">
        <f>H61*1</f>
        <v>0</v>
      </c>
      <c r="AP61" s="38">
        <f>H61*(1-1)</f>
        <v>0</v>
      </c>
      <c r="AQ61" s="41" t="s">
        <v>55</v>
      </c>
      <c r="AV61" s="38">
        <f>ROUND(AW61+AX61,2)</f>
        <v>0</v>
      </c>
      <c r="AW61" s="38">
        <f>ROUND(G61*AO61,2)</f>
        <v>0</v>
      </c>
      <c r="AX61" s="38">
        <f>ROUND(G61*AP61,2)</f>
        <v>0</v>
      </c>
      <c r="AY61" s="41" t="s">
        <v>170</v>
      </c>
      <c r="AZ61" s="41" t="s">
        <v>61</v>
      </c>
      <c r="BA61" s="13" t="s">
        <v>62</v>
      </c>
      <c r="BC61" s="38">
        <f>AW61+AX61</f>
        <v>0</v>
      </c>
      <c r="BD61" s="38">
        <f>H61/(100-BE61)*100</f>
        <v>0</v>
      </c>
      <c r="BE61" s="38">
        <v>0</v>
      </c>
      <c r="BF61" s="38">
        <f>O61</f>
        <v>0.05</v>
      </c>
      <c r="BH61" s="38">
        <f>G61*AO61</f>
        <v>0</v>
      </c>
      <c r="BI61" s="38">
        <f>G61*AP61</f>
        <v>0</v>
      </c>
      <c r="BJ61" s="38">
        <f>G61*H61</f>
        <v>0</v>
      </c>
      <c r="BK61" s="38"/>
      <c r="BL61" s="38"/>
      <c r="BW61" s="38">
        <f>I61</f>
        <v>21</v>
      </c>
      <c r="BX61" s="5" t="s">
        <v>183</v>
      </c>
    </row>
    <row r="62" spans="1:76" x14ac:dyDescent="0.25">
      <c r="A62" s="42"/>
      <c r="C62" s="43" t="s">
        <v>67</v>
      </c>
      <c r="D62" s="179" t="s">
        <v>171</v>
      </c>
      <c r="E62" s="180"/>
      <c r="F62" s="180"/>
      <c r="G62" s="180"/>
      <c r="H62" s="180"/>
      <c r="I62" s="180"/>
      <c r="J62" s="180"/>
      <c r="K62" s="180"/>
      <c r="L62" s="180"/>
      <c r="M62" s="180"/>
      <c r="N62" s="180"/>
      <c r="O62" s="180"/>
      <c r="P62" s="181"/>
      <c r="BX62" s="44" t="s">
        <v>171</v>
      </c>
    </row>
    <row r="63" spans="1:76" x14ac:dyDescent="0.25">
      <c r="A63" s="2" t="s">
        <v>184</v>
      </c>
      <c r="B63" s="3" t="s">
        <v>51</v>
      </c>
      <c r="C63" s="3" t="s">
        <v>185</v>
      </c>
      <c r="D63" s="113" t="s">
        <v>186</v>
      </c>
      <c r="E63" s="110"/>
      <c r="F63" s="3" t="s">
        <v>66</v>
      </c>
      <c r="G63" s="38">
        <v>2</v>
      </c>
      <c r="H63" s="103"/>
      <c r="I63" s="39">
        <v>21</v>
      </c>
      <c r="J63" s="38">
        <f>ROUND(G63*AO63,2)</f>
        <v>0</v>
      </c>
      <c r="K63" s="38">
        <f>ROUND(G63*AP63,2)</f>
        <v>0</v>
      </c>
      <c r="L63" s="38">
        <f>ROUND(G63*H63,2)</f>
        <v>0</v>
      </c>
      <c r="M63" s="38">
        <f>L63*(1+BW63/100)</f>
        <v>0</v>
      </c>
      <c r="N63" s="38">
        <v>0.1</v>
      </c>
      <c r="O63" s="38">
        <f>G63*N63</f>
        <v>0.2</v>
      </c>
      <c r="P63" s="40" t="s">
        <v>114</v>
      </c>
      <c r="Z63" s="38">
        <f>ROUND(IF(AQ63="5",BJ63,0),2)</f>
        <v>0</v>
      </c>
      <c r="AB63" s="38">
        <f>ROUND(IF(AQ63="1",BH63,0),2)</f>
        <v>0</v>
      </c>
      <c r="AC63" s="38">
        <f>ROUND(IF(AQ63="1",BI63,0),2)</f>
        <v>0</v>
      </c>
      <c r="AD63" s="38">
        <f>ROUND(IF(AQ63="7",BH63,0),2)</f>
        <v>0</v>
      </c>
      <c r="AE63" s="38">
        <f>ROUND(IF(AQ63="7",BI63,0),2)</f>
        <v>0</v>
      </c>
      <c r="AF63" s="38">
        <f>ROUND(IF(AQ63="2",BH63,0),2)</f>
        <v>0</v>
      </c>
      <c r="AG63" s="38">
        <f>ROUND(IF(AQ63="2",BI63,0),2)</f>
        <v>0</v>
      </c>
      <c r="AH63" s="38">
        <f>ROUND(IF(AQ63="0",BJ63,0),2)</f>
        <v>0</v>
      </c>
      <c r="AI63" s="13" t="s">
        <v>51</v>
      </c>
      <c r="AJ63" s="38">
        <f>IF(AN63=0,L63,0)</f>
        <v>0</v>
      </c>
      <c r="AK63" s="38">
        <f>IF(AN63=12,L63,0)</f>
        <v>0</v>
      </c>
      <c r="AL63" s="38">
        <f>IF(AN63=21,L63,0)</f>
        <v>0</v>
      </c>
      <c r="AN63" s="38">
        <v>21</v>
      </c>
      <c r="AO63" s="38">
        <f>H63*1</f>
        <v>0</v>
      </c>
      <c r="AP63" s="38">
        <f>H63*(1-1)</f>
        <v>0</v>
      </c>
      <c r="AQ63" s="41" t="s">
        <v>55</v>
      </c>
      <c r="AV63" s="38">
        <f>ROUND(AW63+AX63,2)</f>
        <v>0</v>
      </c>
      <c r="AW63" s="38">
        <f>ROUND(G63*AO63,2)</f>
        <v>0</v>
      </c>
      <c r="AX63" s="38">
        <f>ROUND(G63*AP63,2)</f>
        <v>0</v>
      </c>
      <c r="AY63" s="41" t="s">
        <v>170</v>
      </c>
      <c r="AZ63" s="41" t="s">
        <v>61</v>
      </c>
      <c r="BA63" s="13" t="s">
        <v>62</v>
      </c>
      <c r="BC63" s="38">
        <f>AW63+AX63</f>
        <v>0</v>
      </c>
      <c r="BD63" s="38">
        <f>H63/(100-BE63)*100</f>
        <v>0</v>
      </c>
      <c r="BE63" s="38">
        <v>0</v>
      </c>
      <c r="BF63" s="38">
        <f>O63</f>
        <v>0.2</v>
      </c>
      <c r="BH63" s="38">
        <f>G63*AO63</f>
        <v>0</v>
      </c>
      <c r="BI63" s="38">
        <f>G63*AP63</f>
        <v>0</v>
      </c>
      <c r="BJ63" s="38">
        <f>G63*H63</f>
        <v>0</v>
      </c>
      <c r="BK63" s="38"/>
      <c r="BL63" s="38"/>
      <c r="BW63" s="38">
        <f>I63</f>
        <v>21</v>
      </c>
      <c r="BX63" s="5" t="s">
        <v>186</v>
      </c>
    </row>
    <row r="64" spans="1:76" ht="25.5" x14ac:dyDescent="0.25">
      <c r="A64" s="42"/>
      <c r="C64" s="43" t="s">
        <v>67</v>
      </c>
      <c r="D64" s="179" t="s">
        <v>187</v>
      </c>
      <c r="E64" s="180"/>
      <c r="F64" s="180"/>
      <c r="G64" s="180"/>
      <c r="H64" s="180"/>
      <c r="I64" s="180"/>
      <c r="J64" s="180"/>
      <c r="K64" s="180"/>
      <c r="L64" s="180"/>
      <c r="M64" s="180"/>
      <c r="N64" s="180"/>
      <c r="O64" s="180"/>
      <c r="P64" s="181"/>
      <c r="BX64" s="44" t="s">
        <v>187</v>
      </c>
    </row>
    <row r="65" spans="1:76" x14ac:dyDescent="0.25">
      <c r="A65" s="2" t="s">
        <v>188</v>
      </c>
      <c r="B65" s="3" t="s">
        <v>51</v>
      </c>
      <c r="C65" s="3" t="s">
        <v>189</v>
      </c>
      <c r="D65" s="113" t="s">
        <v>190</v>
      </c>
      <c r="E65" s="110"/>
      <c r="F65" s="3" t="s">
        <v>66</v>
      </c>
      <c r="G65" s="38">
        <v>2</v>
      </c>
      <c r="H65" s="103"/>
      <c r="I65" s="39">
        <v>21</v>
      </c>
      <c r="J65" s="38">
        <f>ROUND(G65*AO65,2)</f>
        <v>0</v>
      </c>
      <c r="K65" s="38">
        <f>ROUND(G65*AP65,2)</f>
        <v>0</v>
      </c>
      <c r="L65" s="38">
        <f>ROUND(G65*H65,2)</f>
        <v>0</v>
      </c>
      <c r="M65" s="38">
        <f>L65*(1+BW65/100)</f>
        <v>0</v>
      </c>
      <c r="N65" s="38">
        <v>0.1</v>
      </c>
      <c r="O65" s="38">
        <f>G65*N65</f>
        <v>0.2</v>
      </c>
      <c r="P65" s="40" t="s">
        <v>114</v>
      </c>
      <c r="Z65" s="38">
        <f>ROUND(IF(AQ65="5",BJ65,0),2)</f>
        <v>0</v>
      </c>
      <c r="AB65" s="38">
        <f>ROUND(IF(AQ65="1",BH65,0),2)</f>
        <v>0</v>
      </c>
      <c r="AC65" s="38">
        <f>ROUND(IF(AQ65="1",BI65,0),2)</f>
        <v>0</v>
      </c>
      <c r="AD65" s="38">
        <f>ROUND(IF(AQ65="7",BH65,0),2)</f>
        <v>0</v>
      </c>
      <c r="AE65" s="38">
        <f>ROUND(IF(AQ65="7",BI65,0),2)</f>
        <v>0</v>
      </c>
      <c r="AF65" s="38">
        <f>ROUND(IF(AQ65="2",BH65,0),2)</f>
        <v>0</v>
      </c>
      <c r="AG65" s="38">
        <f>ROUND(IF(AQ65="2",BI65,0),2)</f>
        <v>0</v>
      </c>
      <c r="AH65" s="38">
        <f>ROUND(IF(AQ65="0",BJ65,0),2)</f>
        <v>0</v>
      </c>
      <c r="AI65" s="13" t="s">
        <v>51</v>
      </c>
      <c r="AJ65" s="38">
        <f>IF(AN65=0,L65,0)</f>
        <v>0</v>
      </c>
      <c r="AK65" s="38">
        <f>IF(AN65=12,L65,0)</f>
        <v>0</v>
      </c>
      <c r="AL65" s="38">
        <f>IF(AN65=21,L65,0)</f>
        <v>0</v>
      </c>
      <c r="AN65" s="38">
        <v>21</v>
      </c>
      <c r="AO65" s="38">
        <f>H65*1</f>
        <v>0</v>
      </c>
      <c r="AP65" s="38">
        <f>H65*(1-1)</f>
        <v>0</v>
      </c>
      <c r="AQ65" s="41" t="s">
        <v>55</v>
      </c>
      <c r="AV65" s="38">
        <f>ROUND(AW65+AX65,2)</f>
        <v>0</v>
      </c>
      <c r="AW65" s="38">
        <f>ROUND(G65*AO65,2)</f>
        <v>0</v>
      </c>
      <c r="AX65" s="38">
        <f>ROUND(G65*AP65,2)</f>
        <v>0</v>
      </c>
      <c r="AY65" s="41" t="s">
        <v>170</v>
      </c>
      <c r="AZ65" s="41" t="s">
        <v>61</v>
      </c>
      <c r="BA65" s="13" t="s">
        <v>62</v>
      </c>
      <c r="BC65" s="38">
        <f>AW65+AX65</f>
        <v>0</v>
      </c>
      <c r="BD65" s="38">
        <f>H65/(100-BE65)*100</f>
        <v>0</v>
      </c>
      <c r="BE65" s="38">
        <v>0</v>
      </c>
      <c r="BF65" s="38">
        <f>O65</f>
        <v>0.2</v>
      </c>
      <c r="BH65" s="38">
        <f>G65*AO65</f>
        <v>0</v>
      </c>
      <c r="BI65" s="38">
        <f>G65*AP65</f>
        <v>0</v>
      </c>
      <c r="BJ65" s="38">
        <f>G65*H65</f>
        <v>0</v>
      </c>
      <c r="BK65" s="38"/>
      <c r="BL65" s="38"/>
      <c r="BW65" s="38">
        <f>I65</f>
        <v>21</v>
      </c>
      <c r="BX65" s="5" t="s">
        <v>190</v>
      </c>
    </row>
    <row r="66" spans="1:76" x14ac:dyDescent="0.25">
      <c r="A66" s="42"/>
      <c r="C66" s="43" t="s">
        <v>67</v>
      </c>
      <c r="D66" s="179" t="s">
        <v>171</v>
      </c>
      <c r="E66" s="180"/>
      <c r="F66" s="180"/>
      <c r="G66" s="180"/>
      <c r="H66" s="180"/>
      <c r="I66" s="180"/>
      <c r="J66" s="180"/>
      <c r="K66" s="180"/>
      <c r="L66" s="180"/>
      <c r="M66" s="180"/>
      <c r="N66" s="180"/>
      <c r="O66" s="180"/>
      <c r="P66" s="181"/>
      <c r="BX66" s="44" t="s">
        <v>171</v>
      </c>
    </row>
    <row r="67" spans="1:76" x14ac:dyDescent="0.25">
      <c r="A67" s="33" t="s">
        <v>50</v>
      </c>
      <c r="B67" s="34" t="s">
        <v>51</v>
      </c>
      <c r="C67" s="34" t="s">
        <v>191</v>
      </c>
      <c r="D67" s="191" t="s">
        <v>192</v>
      </c>
      <c r="E67" s="192"/>
      <c r="F67" s="36" t="s">
        <v>4</v>
      </c>
      <c r="G67" s="36" t="s">
        <v>4</v>
      </c>
      <c r="H67" s="36" t="s">
        <v>4</v>
      </c>
      <c r="I67" s="36" t="s">
        <v>4</v>
      </c>
      <c r="J67" s="1">
        <f>SUM(J68:J68)</f>
        <v>0</v>
      </c>
      <c r="K67" s="1">
        <f>SUM(K68:K68)</f>
        <v>0</v>
      </c>
      <c r="L67" s="1">
        <f>SUM(L68:L68)</f>
        <v>0</v>
      </c>
      <c r="M67" s="1">
        <f>SUM(M68:M68)</f>
        <v>0</v>
      </c>
      <c r="N67" s="13" t="s">
        <v>50</v>
      </c>
      <c r="O67" s="1">
        <f>SUM(O68:O68)</f>
        <v>0</v>
      </c>
      <c r="P67" s="37" t="s">
        <v>50</v>
      </c>
      <c r="AI67" s="13" t="s">
        <v>51</v>
      </c>
      <c r="AS67" s="1">
        <f>SUM(AJ68:AJ68)</f>
        <v>0</v>
      </c>
      <c r="AT67" s="1">
        <f>SUM(AK68:AK68)</f>
        <v>0</v>
      </c>
      <c r="AU67" s="1">
        <f>SUM(AL68:AL68)</f>
        <v>0</v>
      </c>
    </row>
    <row r="68" spans="1:76" x14ac:dyDescent="0.25">
      <c r="A68" s="2" t="s">
        <v>193</v>
      </c>
      <c r="B68" s="3" t="s">
        <v>51</v>
      </c>
      <c r="C68" s="3" t="s">
        <v>194</v>
      </c>
      <c r="D68" s="113" t="s">
        <v>195</v>
      </c>
      <c r="E68" s="110"/>
      <c r="F68" s="3" t="s">
        <v>118</v>
      </c>
      <c r="G68" s="38">
        <v>1</v>
      </c>
      <c r="H68" s="103"/>
      <c r="I68" s="39">
        <v>21</v>
      </c>
      <c r="J68" s="38">
        <f>ROUND(G68*AO68,2)</f>
        <v>0</v>
      </c>
      <c r="K68" s="38">
        <f>ROUND(G68*AP68,2)</f>
        <v>0</v>
      </c>
      <c r="L68" s="38">
        <f>ROUND(G68*H68,2)</f>
        <v>0</v>
      </c>
      <c r="M68" s="38">
        <f>L68*(1+BW68/100)</f>
        <v>0</v>
      </c>
      <c r="N68" s="38">
        <v>0</v>
      </c>
      <c r="O68" s="38">
        <f>G68*N68</f>
        <v>0</v>
      </c>
      <c r="P68" s="40" t="s">
        <v>114</v>
      </c>
      <c r="Z68" s="38">
        <f>ROUND(IF(AQ68="5",BJ68,0),2)</f>
        <v>0</v>
      </c>
      <c r="AB68" s="38">
        <f>ROUND(IF(AQ68="1",BH68,0),2)</f>
        <v>0</v>
      </c>
      <c r="AC68" s="38">
        <f>ROUND(IF(AQ68="1",BI68,0),2)</f>
        <v>0</v>
      </c>
      <c r="AD68" s="38">
        <f>ROUND(IF(AQ68="7",BH68,0),2)</f>
        <v>0</v>
      </c>
      <c r="AE68" s="38">
        <f>ROUND(IF(AQ68="7",BI68,0),2)</f>
        <v>0</v>
      </c>
      <c r="AF68" s="38">
        <f>ROUND(IF(AQ68="2",BH68,0),2)</f>
        <v>0</v>
      </c>
      <c r="AG68" s="38">
        <f>ROUND(IF(AQ68="2",BI68,0),2)</f>
        <v>0</v>
      </c>
      <c r="AH68" s="38">
        <f>ROUND(IF(AQ68="0",BJ68,0),2)</f>
        <v>0</v>
      </c>
      <c r="AI68" s="13" t="s">
        <v>51</v>
      </c>
      <c r="AJ68" s="38">
        <f>IF(AN68=0,L68,0)</f>
        <v>0</v>
      </c>
      <c r="AK68" s="38">
        <f>IF(AN68=12,L68,0)</f>
        <v>0</v>
      </c>
      <c r="AL68" s="38">
        <f>IF(AN68=21,L68,0)</f>
        <v>0</v>
      </c>
      <c r="AN68" s="38">
        <v>21</v>
      </c>
      <c r="AO68" s="38">
        <f>H68*0</f>
        <v>0</v>
      </c>
      <c r="AP68" s="38">
        <f>H68*(1-0)</f>
        <v>0</v>
      </c>
      <c r="AQ68" s="41" t="s">
        <v>63</v>
      </c>
      <c r="AV68" s="38">
        <f>ROUND(AW68+AX68,2)</f>
        <v>0</v>
      </c>
      <c r="AW68" s="38">
        <f>ROUND(G68*AO68,2)</f>
        <v>0</v>
      </c>
      <c r="AX68" s="38">
        <f>ROUND(G68*AP68,2)</f>
        <v>0</v>
      </c>
      <c r="AY68" s="41" t="s">
        <v>196</v>
      </c>
      <c r="AZ68" s="41" t="s">
        <v>61</v>
      </c>
      <c r="BA68" s="13" t="s">
        <v>62</v>
      </c>
      <c r="BC68" s="38">
        <f>AW68+AX68</f>
        <v>0</v>
      </c>
      <c r="BD68" s="38">
        <f>H68/(100-BE68)*100</f>
        <v>0</v>
      </c>
      <c r="BE68" s="38">
        <v>0</v>
      </c>
      <c r="BF68" s="38">
        <f>O68</f>
        <v>0</v>
      </c>
      <c r="BH68" s="38">
        <f>G68*AO68</f>
        <v>0</v>
      </c>
      <c r="BI68" s="38">
        <f>G68*AP68</f>
        <v>0</v>
      </c>
      <c r="BJ68" s="38">
        <f>G68*H68</f>
        <v>0</v>
      </c>
      <c r="BK68" s="38"/>
      <c r="BL68" s="38"/>
      <c r="BW68" s="38">
        <f>I68</f>
        <v>21</v>
      </c>
      <c r="BX68" s="5" t="s">
        <v>195</v>
      </c>
    </row>
    <row r="69" spans="1:76" x14ac:dyDescent="0.25">
      <c r="A69" s="33" t="s">
        <v>50</v>
      </c>
      <c r="B69" s="34" t="s">
        <v>51</v>
      </c>
      <c r="C69" s="34" t="s">
        <v>178</v>
      </c>
      <c r="D69" s="191" t="s">
        <v>197</v>
      </c>
      <c r="E69" s="192"/>
      <c r="F69" s="36" t="s">
        <v>4</v>
      </c>
      <c r="G69" s="36" t="s">
        <v>4</v>
      </c>
      <c r="H69" s="36" t="s">
        <v>4</v>
      </c>
      <c r="I69" s="36" t="s">
        <v>4</v>
      </c>
      <c r="J69" s="1">
        <f>SUM(J70:J78)</f>
        <v>0</v>
      </c>
      <c r="K69" s="1">
        <f>SUM(K70:K78)</f>
        <v>0</v>
      </c>
      <c r="L69" s="1">
        <f>SUM(L70:L78)</f>
        <v>0</v>
      </c>
      <c r="M69" s="1">
        <f>SUM(M70:M78)</f>
        <v>0</v>
      </c>
      <c r="N69" s="13" t="s">
        <v>50</v>
      </c>
      <c r="O69" s="1">
        <f>SUM(O70:O78)</f>
        <v>0.57779105999999991</v>
      </c>
      <c r="P69" s="37" t="s">
        <v>50</v>
      </c>
      <c r="AI69" s="13" t="s">
        <v>51</v>
      </c>
      <c r="AS69" s="1">
        <f>SUM(AJ70:AJ78)</f>
        <v>0</v>
      </c>
      <c r="AT69" s="1">
        <f>SUM(AK70:AK78)</f>
        <v>0</v>
      </c>
      <c r="AU69" s="1">
        <f>SUM(AL70:AL78)</f>
        <v>0</v>
      </c>
    </row>
    <row r="70" spans="1:76" x14ac:dyDescent="0.25">
      <c r="A70" s="2" t="s">
        <v>198</v>
      </c>
      <c r="B70" s="3" t="s">
        <v>51</v>
      </c>
      <c r="C70" s="3" t="s">
        <v>199</v>
      </c>
      <c r="D70" s="113" t="s">
        <v>200</v>
      </c>
      <c r="E70" s="110"/>
      <c r="F70" s="3" t="s">
        <v>58</v>
      </c>
      <c r="G70" s="38">
        <v>1.2</v>
      </c>
      <c r="H70" s="103"/>
      <c r="I70" s="39">
        <v>21</v>
      </c>
      <c r="J70" s="38">
        <f>ROUND(G70*AO70,2)</f>
        <v>0</v>
      </c>
      <c r="K70" s="38">
        <f>ROUND(G70*AP70,2)</f>
        <v>0</v>
      </c>
      <c r="L70" s="38">
        <f>ROUND(G70*H70,2)</f>
        <v>0</v>
      </c>
      <c r="M70" s="38">
        <f>L70*(1+BW70/100)</f>
        <v>0</v>
      </c>
      <c r="N70" s="38">
        <v>9.2170000000000002E-2</v>
      </c>
      <c r="O70" s="38">
        <f>G70*N70</f>
        <v>0.11060399999999999</v>
      </c>
      <c r="P70" s="40" t="s">
        <v>59</v>
      </c>
      <c r="Z70" s="38">
        <f>ROUND(IF(AQ70="5",BJ70,0),2)</f>
        <v>0</v>
      </c>
      <c r="AB70" s="38">
        <f>ROUND(IF(AQ70="1",BH70,0),2)</f>
        <v>0</v>
      </c>
      <c r="AC70" s="38">
        <f>ROUND(IF(AQ70="1",BI70,0),2)</f>
        <v>0</v>
      </c>
      <c r="AD70" s="38">
        <f>ROUND(IF(AQ70="7",BH70,0),2)</f>
        <v>0</v>
      </c>
      <c r="AE70" s="38">
        <f>ROUND(IF(AQ70="7",BI70,0),2)</f>
        <v>0</v>
      </c>
      <c r="AF70" s="38">
        <f>ROUND(IF(AQ70="2",BH70,0),2)</f>
        <v>0</v>
      </c>
      <c r="AG70" s="38">
        <f>ROUND(IF(AQ70="2",BI70,0),2)</f>
        <v>0</v>
      </c>
      <c r="AH70" s="38">
        <f>ROUND(IF(AQ70="0",BJ70,0),2)</f>
        <v>0</v>
      </c>
      <c r="AI70" s="13" t="s">
        <v>51</v>
      </c>
      <c r="AJ70" s="38">
        <f>IF(AN70=0,L70,0)</f>
        <v>0</v>
      </c>
      <c r="AK70" s="38">
        <f>IF(AN70=12,L70,0)</f>
        <v>0</v>
      </c>
      <c r="AL70" s="38">
        <f>IF(AN70=21,L70,0)</f>
        <v>0</v>
      </c>
      <c r="AN70" s="38">
        <v>21</v>
      </c>
      <c r="AO70" s="38">
        <f>H70*0.581427544</f>
        <v>0</v>
      </c>
      <c r="AP70" s="38">
        <f>H70*(1-0.581427544)</f>
        <v>0</v>
      </c>
      <c r="AQ70" s="41" t="s">
        <v>55</v>
      </c>
      <c r="AV70" s="38">
        <f>ROUND(AW70+AX70,2)</f>
        <v>0</v>
      </c>
      <c r="AW70" s="38">
        <f>ROUND(G70*AO70,2)</f>
        <v>0</v>
      </c>
      <c r="AX70" s="38">
        <f>ROUND(G70*AP70,2)</f>
        <v>0</v>
      </c>
      <c r="AY70" s="41" t="s">
        <v>201</v>
      </c>
      <c r="AZ70" s="41" t="s">
        <v>202</v>
      </c>
      <c r="BA70" s="13" t="s">
        <v>62</v>
      </c>
      <c r="BC70" s="38">
        <f>AW70+AX70</f>
        <v>0</v>
      </c>
      <c r="BD70" s="38">
        <f>H70/(100-BE70)*100</f>
        <v>0</v>
      </c>
      <c r="BE70" s="38">
        <v>0</v>
      </c>
      <c r="BF70" s="38">
        <f>O70</f>
        <v>0.11060399999999999</v>
      </c>
      <c r="BH70" s="38">
        <f>G70*AO70</f>
        <v>0</v>
      </c>
      <c r="BI70" s="38">
        <f>G70*AP70</f>
        <v>0</v>
      </c>
      <c r="BJ70" s="38">
        <f>G70*H70</f>
        <v>0</v>
      </c>
      <c r="BK70" s="38"/>
      <c r="BL70" s="38">
        <v>34</v>
      </c>
      <c r="BW70" s="38">
        <f>I70</f>
        <v>21</v>
      </c>
      <c r="BX70" s="5" t="s">
        <v>200</v>
      </c>
    </row>
    <row r="71" spans="1:76" ht="25.5" x14ac:dyDescent="0.25">
      <c r="A71" s="42"/>
      <c r="C71" s="43" t="s">
        <v>67</v>
      </c>
      <c r="D71" s="179" t="s">
        <v>203</v>
      </c>
      <c r="E71" s="180"/>
      <c r="F71" s="180"/>
      <c r="G71" s="180"/>
      <c r="H71" s="180"/>
      <c r="I71" s="180"/>
      <c r="J71" s="180"/>
      <c r="K71" s="180"/>
      <c r="L71" s="180"/>
      <c r="M71" s="180"/>
      <c r="N71" s="180"/>
      <c r="O71" s="180"/>
      <c r="P71" s="181"/>
      <c r="BX71" s="44" t="s">
        <v>203</v>
      </c>
    </row>
    <row r="72" spans="1:76" x14ac:dyDescent="0.25">
      <c r="A72" s="2" t="s">
        <v>204</v>
      </c>
      <c r="B72" s="3" t="s">
        <v>51</v>
      </c>
      <c r="C72" s="3" t="s">
        <v>205</v>
      </c>
      <c r="D72" s="113" t="s">
        <v>206</v>
      </c>
      <c r="E72" s="110"/>
      <c r="F72" s="3" t="s">
        <v>207</v>
      </c>
      <c r="G72" s="38">
        <v>0.28699999999999998</v>
      </c>
      <c r="H72" s="103"/>
      <c r="I72" s="39">
        <v>21</v>
      </c>
      <c r="J72" s="38">
        <f>ROUND(G72*AO72,2)</f>
        <v>0</v>
      </c>
      <c r="K72" s="38">
        <f>ROUND(G72*AP72,2)</f>
        <v>0</v>
      </c>
      <c r="L72" s="38">
        <f>ROUND(G72*H72,2)</f>
        <v>0</v>
      </c>
      <c r="M72" s="38">
        <f>L72*(1+BW72/100)</f>
        <v>0</v>
      </c>
      <c r="N72" s="38">
        <v>0.76182000000000005</v>
      </c>
      <c r="O72" s="38">
        <f>G72*N72</f>
        <v>0.21864233999999999</v>
      </c>
      <c r="P72" s="40" t="s">
        <v>59</v>
      </c>
      <c r="Z72" s="38">
        <f>ROUND(IF(AQ72="5",BJ72,0),2)</f>
        <v>0</v>
      </c>
      <c r="AB72" s="38">
        <f>ROUND(IF(AQ72="1",BH72,0),2)</f>
        <v>0</v>
      </c>
      <c r="AC72" s="38">
        <f>ROUND(IF(AQ72="1",BI72,0),2)</f>
        <v>0</v>
      </c>
      <c r="AD72" s="38">
        <f>ROUND(IF(AQ72="7",BH72,0),2)</f>
        <v>0</v>
      </c>
      <c r="AE72" s="38">
        <f>ROUND(IF(AQ72="7",BI72,0),2)</f>
        <v>0</v>
      </c>
      <c r="AF72" s="38">
        <f>ROUND(IF(AQ72="2",BH72,0),2)</f>
        <v>0</v>
      </c>
      <c r="AG72" s="38">
        <f>ROUND(IF(AQ72="2",BI72,0),2)</f>
        <v>0</v>
      </c>
      <c r="AH72" s="38">
        <f>ROUND(IF(AQ72="0",BJ72,0),2)</f>
        <v>0</v>
      </c>
      <c r="AI72" s="13" t="s">
        <v>51</v>
      </c>
      <c r="AJ72" s="38">
        <f>IF(AN72=0,L72,0)</f>
        <v>0</v>
      </c>
      <c r="AK72" s="38">
        <f>IF(AN72=12,L72,0)</f>
        <v>0</v>
      </c>
      <c r="AL72" s="38">
        <f>IF(AN72=21,L72,0)</f>
        <v>0</v>
      </c>
      <c r="AN72" s="38">
        <v>21</v>
      </c>
      <c r="AO72" s="38">
        <f>H72*0.76184646</f>
        <v>0</v>
      </c>
      <c r="AP72" s="38">
        <f>H72*(1-0.76184646)</f>
        <v>0</v>
      </c>
      <c r="AQ72" s="41" t="s">
        <v>55</v>
      </c>
      <c r="AV72" s="38">
        <f>ROUND(AW72+AX72,2)</f>
        <v>0</v>
      </c>
      <c r="AW72" s="38">
        <f>ROUND(G72*AO72,2)</f>
        <v>0</v>
      </c>
      <c r="AX72" s="38">
        <f>ROUND(G72*AP72,2)</f>
        <v>0</v>
      </c>
      <c r="AY72" s="41" t="s">
        <v>201</v>
      </c>
      <c r="AZ72" s="41" t="s">
        <v>202</v>
      </c>
      <c r="BA72" s="13" t="s">
        <v>62</v>
      </c>
      <c r="BC72" s="38">
        <f>AW72+AX72</f>
        <v>0</v>
      </c>
      <c r="BD72" s="38">
        <f>H72/(100-BE72)*100</f>
        <v>0</v>
      </c>
      <c r="BE72" s="38">
        <v>0</v>
      </c>
      <c r="BF72" s="38">
        <f>O72</f>
        <v>0.21864233999999999</v>
      </c>
      <c r="BH72" s="38">
        <f>G72*AO72</f>
        <v>0</v>
      </c>
      <c r="BI72" s="38">
        <f>G72*AP72</f>
        <v>0</v>
      </c>
      <c r="BJ72" s="38">
        <f>G72*H72</f>
        <v>0</v>
      </c>
      <c r="BK72" s="38"/>
      <c r="BL72" s="38">
        <v>34</v>
      </c>
      <c r="BW72" s="38">
        <f>I72</f>
        <v>21</v>
      </c>
      <c r="BX72" s="5" t="s">
        <v>206</v>
      </c>
    </row>
    <row r="73" spans="1:76" ht="25.5" x14ac:dyDescent="0.25">
      <c r="A73" s="42"/>
      <c r="C73" s="43" t="s">
        <v>67</v>
      </c>
      <c r="D73" s="179" t="s">
        <v>208</v>
      </c>
      <c r="E73" s="180"/>
      <c r="F73" s="180"/>
      <c r="G73" s="180"/>
      <c r="H73" s="180"/>
      <c r="I73" s="180"/>
      <c r="J73" s="180"/>
      <c r="K73" s="180"/>
      <c r="L73" s="180"/>
      <c r="M73" s="180"/>
      <c r="N73" s="180"/>
      <c r="O73" s="180"/>
      <c r="P73" s="181"/>
      <c r="BX73" s="44" t="s">
        <v>208</v>
      </c>
    </row>
    <row r="74" spans="1:76" x14ac:dyDescent="0.25">
      <c r="A74" s="2" t="s">
        <v>209</v>
      </c>
      <c r="B74" s="3" t="s">
        <v>51</v>
      </c>
      <c r="C74" s="3" t="s">
        <v>210</v>
      </c>
      <c r="D74" s="113" t="s">
        <v>211</v>
      </c>
      <c r="E74" s="110"/>
      <c r="F74" s="3" t="s">
        <v>58</v>
      </c>
      <c r="G74" s="38">
        <v>6.6239999999999997</v>
      </c>
      <c r="H74" s="103"/>
      <c r="I74" s="39">
        <v>21</v>
      </c>
      <c r="J74" s="38">
        <f>ROUND(G74*AO74,2)</f>
        <v>0</v>
      </c>
      <c r="K74" s="38">
        <f>ROUND(G74*AP74,2)</f>
        <v>0</v>
      </c>
      <c r="L74" s="38">
        <f>ROUND(G74*H74,2)</f>
        <v>0</v>
      </c>
      <c r="M74" s="38">
        <f>L74*(1+BW74/100)</f>
        <v>0</v>
      </c>
      <c r="N74" s="38">
        <v>2.8680000000000001E-2</v>
      </c>
      <c r="O74" s="38">
        <f>G74*N74</f>
        <v>0.18997632</v>
      </c>
      <c r="P74" s="40" t="s">
        <v>114</v>
      </c>
      <c r="Z74" s="38">
        <f>ROUND(IF(AQ74="5",BJ74,0),2)</f>
        <v>0</v>
      </c>
      <c r="AB74" s="38">
        <f>ROUND(IF(AQ74="1",BH74,0),2)</f>
        <v>0</v>
      </c>
      <c r="AC74" s="38">
        <f>ROUND(IF(AQ74="1",BI74,0),2)</f>
        <v>0</v>
      </c>
      <c r="AD74" s="38">
        <f>ROUND(IF(AQ74="7",BH74,0),2)</f>
        <v>0</v>
      </c>
      <c r="AE74" s="38">
        <f>ROUND(IF(AQ74="7",BI74,0),2)</f>
        <v>0</v>
      </c>
      <c r="AF74" s="38">
        <f>ROUND(IF(AQ74="2",BH74,0),2)</f>
        <v>0</v>
      </c>
      <c r="AG74" s="38">
        <f>ROUND(IF(AQ74="2",BI74,0),2)</f>
        <v>0</v>
      </c>
      <c r="AH74" s="38">
        <f>ROUND(IF(AQ74="0",BJ74,0),2)</f>
        <v>0</v>
      </c>
      <c r="AI74" s="13" t="s">
        <v>51</v>
      </c>
      <c r="AJ74" s="38">
        <f>IF(AN74=0,L74,0)</f>
        <v>0</v>
      </c>
      <c r="AK74" s="38">
        <f>IF(AN74=12,L74,0)</f>
        <v>0</v>
      </c>
      <c r="AL74" s="38">
        <f>IF(AN74=21,L74,0)</f>
        <v>0</v>
      </c>
      <c r="AN74" s="38">
        <v>21</v>
      </c>
      <c r="AO74" s="38">
        <f>H74*0.558395605</f>
        <v>0</v>
      </c>
      <c r="AP74" s="38">
        <f>H74*(1-0.558395605)</f>
        <v>0</v>
      </c>
      <c r="AQ74" s="41" t="s">
        <v>55</v>
      </c>
      <c r="AV74" s="38">
        <f>ROUND(AW74+AX74,2)</f>
        <v>0</v>
      </c>
      <c r="AW74" s="38">
        <f>ROUND(G74*AO74,2)</f>
        <v>0</v>
      </c>
      <c r="AX74" s="38">
        <f>ROUND(G74*AP74,2)</f>
        <v>0</v>
      </c>
      <c r="AY74" s="41" t="s">
        <v>201</v>
      </c>
      <c r="AZ74" s="41" t="s">
        <v>202</v>
      </c>
      <c r="BA74" s="13" t="s">
        <v>62</v>
      </c>
      <c r="BC74" s="38">
        <f>AW74+AX74</f>
        <v>0</v>
      </c>
      <c r="BD74" s="38">
        <f>H74/(100-BE74)*100</f>
        <v>0</v>
      </c>
      <c r="BE74" s="38">
        <v>0</v>
      </c>
      <c r="BF74" s="38">
        <f>O74</f>
        <v>0.18997632</v>
      </c>
      <c r="BH74" s="38">
        <f>G74*AO74</f>
        <v>0</v>
      </c>
      <c r="BI74" s="38">
        <f>G74*AP74</f>
        <v>0</v>
      </c>
      <c r="BJ74" s="38">
        <f>G74*H74</f>
        <v>0</v>
      </c>
      <c r="BK74" s="38"/>
      <c r="BL74" s="38">
        <v>34</v>
      </c>
      <c r="BW74" s="38">
        <f>I74</f>
        <v>21</v>
      </c>
      <c r="BX74" s="5" t="s">
        <v>211</v>
      </c>
    </row>
    <row r="75" spans="1:76" ht="25.5" x14ac:dyDescent="0.25">
      <c r="A75" s="42"/>
      <c r="C75" s="43" t="s">
        <v>67</v>
      </c>
      <c r="D75" s="179" t="s">
        <v>212</v>
      </c>
      <c r="E75" s="180"/>
      <c r="F75" s="180"/>
      <c r="G75" s="180"/>
      <c r="H75" s="180"/>
      <c r="I75" s="180"/>
      <c r="J75" s="180"/>
      <c r="K75" s="180"/>
      <c r="L75" s="180"/>
      <c r="M75" s="180"/>
      <c r="N75" s="180"/>
      <c r="O75" s="180"/>
      <c r="P75" s="181"/>
      <c r="BX75" s="44" t="s">
        <v>212</v>
      </c>
    </row>
    <row r="76" spans="1:76" x14ac:dyDescent="0.25">
      <c r="A76" s="2" t="s">
        <v>213</v>
      </c>
      <c r="B76" s="3" t="s">
        <v>51</v>
      </c>
      <c r="C76" s="3" t="s">
        <v>214</v>
      </c>
      <c r="D76" s="113" t="s">
        <v>215</v>
      </c>
      <c r="E76" s="110"/>
      <c r="F76" s="3" t="s">
        <v>58</v>
      </c>
      <c r="G76" s="38">
        <v>2.61</v>
      </c>
      <c r="H76" s="103"/>
      <c r="I76" s="39">
        <v>21</v>
      </c>
      <c r="J76" s="38">
        <f>ROUND(G76*AO76,2)</f>
        <v>0</v>
      </c>
      <c r="K76" s="38">
        <f>ROUND(G76*AP76,2)</f>
        <v>0</v>
      </c>
      <c r="L76" s="38">
        <f>ROUND(G76*H76,2)</f>
        <v>0</v>
      </c>
      <c r="M76" s="38">
        <f>L76*(1+BW76/100)</f>
        <v>0</v>
      </c>
      <c r="N76" s="38">
        <v>2.2440000000000002E-2</v>
      </c>
      <c r="O76" s="38">
        <f>G76*N76</f>
        <v>5.85684E-2</v>
      </c>
      <c r="P76" s="40" t="s">
        <v>59</v>
      </c>
      <c r="Z76" s="38">
        <f>ROUND(IF(AQ76="5",BJ76,0),2)</f>
        <v>0</v>
      </c>
      <c r="AB76" s="38">
        <f>ROUND(IF(AQ76="1",BH76,0),2)</f>
        <v>0</v>
      </c>
      <c r="AC76" s="38">
        <f>ROUND(IF(AQ76="1",BI76,0),2)</f>
        <v>0</v>
      </c>
      <c r="AD76" s="38">
        <f>ROUND(IF(AQ76="7",BH76,0),2)</f>
        <v>0</v>
      </c>
      <c r="AE76" s="38">
        <f>ROUND(IF(AQ76="7",BI76,0),2)</f>
        <v>0</v>
      </c>
      <c r="AF76" s="38">
        <f>ROUND(IF(AQ76="2",BH76,0),2)</f>
        <v>0</v>
      </c>
      <c r="AG76" s="38">
        <f>ROUND(IF(AQ76="2",BI76,0),2)</f>
        <v>0</v>
      </c>
      <c r="AH76" s="38">
        <f>ROUND(IF(AQ76="0",BJ76,0),2)</f>
        <v>0</v>
      </c>
      <c r="AI76" s="13" t="s">
        <v>51</v>
      </c>
      <c r="AJ76" s="38">
        <f>IF(AN76=0,L76,0)</f>
        <v>0</v>
      </c>
      <c r="AK76" s="38">
        <f>IF(AN76=12,L76,0)</f>
        <v>0</v>
      </c>
      <c r="AL76" s="38">
        <f>IF(AN76=21,L76,0)</f>
        <v>0</v>
      </c>
      <c r="AN76" s="38">
        <v>21</v>
      </c>
      <c r="AO76" s="38">
        <f>H76*0.445898402</f>
        <v>0</v>
      </c>
      <c r="AP76" s="38">
        <f>H76*(1-0.445898402)</f>
        <v>0</v>
      </c>
      <c r="AQ76" s="41" t="s">
        <v>55</v>
      </c>
      <c r="AV76" s="38">
        <f>ROUND(AW76+AX76,2)</f>
        <v>0</v>
      </c>
      <c r="AW76" s="38">
        <f>ROUND(G76*AO76,2)</f>
        <v>0</v>
      </c>
      <c r="AX76" s="38">
        <f>ROUND(G76*AP76,2)</f>
        <v>0</v>
      </c>
      <c r="AY76" s="41" t="s">
        <v>201</v>
      </c>
      <c r="AZ76" s="41" t="s">
        <v>202</v>
      </c>
      <c r="BA76" s="13" t="s">
        <v>62</v>
      </c>
      <c r="BC76" s="38">
        <f>AW76+AX76</f>
        <v>0</v>
      </c>
      <c r="BD76" s="38">
        <f>H76/(100-BE76)*100</f>
        <v>0</v>
      </c>
      <c r="BE76" s="38">
        <v>0</v>
      </c>
      <c r="BF76" s="38">
        <f>O76</f>
        <v>5.85684E-2</v>
      </c>
      <c r="BH76" s="38">
        <f>G76*AO76</f>
        <v>0</v>
      </c>
      <c r="BI76" s="38">
        <f>G76*AP76</f>
        <v>0</v>
      </c>
      <c r="BJ76" s="38">
        <f>G76*H76</f>
        <v>0</v>
      </c>
      <c r="BK76" s="38"/>
      <c r="BL76" s="38">
        <v>34</v>
      </c>
      <c r="BW76" s="38">
        <f>I76</f>
        <v>21</v>
      </c>
      <c r="BX76" s="5" t="s">
        <v>215</v>
      </c>
    </row>
    <row r="77" spans="1:76" ht="25.5" x14ac:dyDescent="0.25">
      <c r="A77" s="42"/>
      <c r="C77" s="43" t="s">
        <v>67</v>
      </c>
      <c r="D77" s="179" t="s">
        <v>216</v>
      </c>
      <c r="E77" s="180"/>
      <c r="F77" s="180"/>
      <c r="G77" s="180"/>
      <c r="H77" s="180"/>
      <c r="I77" s="180"/>
      <c r="J77" s="180"/>
      <c r="K77" s="180"/>
      <c r="L77" s="180"/>
      <c r="M77" s="180"/>
      <c r="N77" s="180"/>
      <c r="O77" s="180"/>
      <c r="P77" s="181"/>
      <c r="BX77" s="44" t="s">
        <v>216</v>
      </c>
    </row>
    <row r="78" spans="1:76" x14ac:dyDescent="0.25">
      <c r="A78" s="2" t="s">
        <v>217</v>
      </c>
      <c r="B78" s="3" t="s">
        <v>51</v>
      </c>
      <c r="C78" s="3" t="s">
        <v>218</v>
      </c>
      <c r="D78" s="113" t="s">
        <v>219</v>
      </c>
      <c r="E78" s="110"/>
      <c r="F78" s="3" t="s">
        <v>134</v>
      </c>
      <c r="G78" s="38">
        <v>0.57779000000000003</v>
      </c>
      <c r="H78" s="103"/>
      <c r="I78" s="39">
        <v>21</v>
      </c>
      <c r="J78" s="38">
        <f>ROUND(G78*AO78,2)</f>
        <v>0</v>
      </c>
      <c r="K78" s="38">
        <f>ROUND(G78*AP78,2)</f>
        <v>0</v>
      </c>
      <c r="L78" s="38">
        <f>ROUND(G78*H78,2)</f>
        <v>0</v>
      </c>
      <c r="M78" s="38">
        <f>L78*(1+BW78/100)</f>
        <v>0</v>
      </c>
      <c r="N78" s="38">
        <v>0</v>
      </c>
      <c r="O78" s="38">
        <f>G78*N78</f>
        <v>0</v>
      </c>
      <c r="P78" s="40" t="s">
        <v>59</v>
      </c>
      <c r="Z78" s="38">
        <f>ROUND(IF(AQ78="5",BJ78,0),2)</f>
        <v>0</v>
      </c>
      <c r="AB78" s="38">
        <f>ROUND(IF(AQ78="1",BH78,0),2)</f>
        <v>0</v>
      </c>
      <c r="AC78" s="38">
        <f>ROUND(IF(AQ78="1",BI78,0),2)</f>
        <v>0</v>
      </c>
      <c r="AD78" s="38">
        <f>ROUND(IF(AQ78="7",BH78,0),2)</f>
        <v>0</v>
      </c>
      <c r="AE78" s="38">
        <f>ROUND(IF(AQ78="7",BI78,0),2)</f>
        <v>0</v>
      </c>
      <c r="AF78" s="38">
        <f>ROUND(IF(AQ78="2",BH78,0),2)</f>
        <v>0</v>
      </c>
      <c r="AG78" s="38">
        <f>ROUND(IF(AQ78="2",BI78,0),2)</f>
        <v>0</v>
      </c>
      <c r="AH78" s="38">
        <f>ROUND(IF(AQ78="0",BJ78,0),2)</f>
        <v>0</v>
      </c>
      <c r="AI78" s="13" t="s">
        <v>51</v>
      </c>
      <c r="AJ78" s="38">
        <f>IF(AN78=0,L78,0)</f>
        <v>0</v>
      </c>
      <c r="AK78" s="38">
        <f>IF(AN78=12,L78,0)</f>
        <v>0</v>
      </c>
      <c r="AL78" s="38">
        <f>IF(AN78=21,L78,0)</f>
        <v>0</v>
      </c>
      <c r="AN78" s="38">
        <v>21</v>
      </c>
      <c r="AO78" s="38">
        <f>H78*0</f>
        <v>0</v>
      </c>
      <c r="AP78" s="38">
        <f>H78*(1-0)</f>
        <v>0</v>
      </c>
      <c r="AQ78" s="41" t="s">
        <v>77</v>
      </c>
      <c r="AV78" s="38">
        <f>ROUND(AW78+AX78,2)</f>
        <v>0</v>
      </c>
      <c r="AW78" s="38">
        <f>ROUND(G78*AO78,2)</f>
        <v>0</v>
      </c>
      <c r="AX78" s="38">
        <f>ROUND(G78*AP78,2)</f>
        <v>0</v>
      </c>
      <c r="AY78" s="41" t="s">
        <v>201</v>
      </c>
      <c r="AZ78" s="41" t="s">
        <v>202</v>
      </c>
      <c r="BA78" s="13" t="s">
        <v>62</v>
      </c>
      <c r="BC78" s="38">
        <f>AW78+AX78</f>
        <v>0</v>
      </c>
      <c r="BD78" s="38">
        <f>H78/(100-BE78)*100</f>
        <v>0</v>
      </c>
      <c r="BE78" s="38">
        <v>0</v>
      </c>
      <c r="BF78" s="38">
        <f>O78</f>
        <v>0</v>
      </c>
      <c r="BH78" s="38">
        <f>G78*AO78</f>
        <v>0</v>
      </c>
      <c r="BI78" s="38">
        <f>G78*AP78</f>
        <v>0</v>
      </c>
      <c r="BJ78" s="38">
        <f>G78*H78</f>
        <v>0</v>
      </c>
      <c r="BK78" s="38"/>
      <c r="BL78" s="38">
        <v>34</v>
      </c>
      <c r="BW78" s="38">
        <f>I78</f>
        <v>21</v>
      </c>
      <c r="BX78" s="5" t="s">
        <v>219</v>
      </c>
    </row>
    <row r="79" spans="1:76" x14ac:dyDescent="0.25">
      <c r="A79" s="33" t="s">
        <v>50</v>
      </c>
      <c r="B79" s="34" t="s">
        <v>51</v>
      </c>
      <c r="C79" s="34" t="s">
        <v>209</v>
      </c>
      <c r="D79" s="191" t="s">
        <v>220</v>
      </c>
      <c r="E79" s="192"/>
      <c r="F79" s="36" t="s">
        <v>4</v>
      </c>
      <c r="G79" s="36" t="s">
        <v>4</v>
      </c>
      <c r="H79" s="36" t="s">
        <v>4</v>
      </c>
      <c r="I79" s="36" t="s">
        <v>4</v>
      </c>
      <c r="J79" s="1">
        <f>SUM(J80:J84)</f>
        <v>0</v>
      </c>
      <c r="K79" s="1">
        <f>SUM(K80:K84)</f>
        <v>0</v>
      </c>
      <c r="L79" s="1">
        <f>SUM(L80:L84)</f>
        <v>0</v>
      </c>
      <c r="M79" s="1">
        <f>SUM(M80:M84)</f>
        <v>0</v>
      </c>
      <c r="N79" s="13" t="s">
        <v>50</v>
      </c>
      <c r="O79" s="1">
        <f>SUM(O80:O84)</f>
        <v>0.33975636799999998</v>
      </c>
      <c r="P79" s="37" t="s">
        <v>50</v>
      </c>
      <c r="AI79" s="13" t="s">
        <v>51</v>
      </c>
      <c r="AS79" s="1">
        <f>SUM(AJ80:AJ84)</f>
        <v>0</v>
      </c>
      <c r="AT79" s="1">
        <f>SUM(AK80:AK84)</f>
        <v>0</v>
      </c>
      <c r="AU79" s="1">
        <f>SUM(AL80:AL84)</f>
        <v>0</v>
      </c>
    </row>
    <row r="80" spans="1:76" x14ac:dyDescent="0.25">
      <c r="A80" s="2" t="s">
        <v>221</v>
      </c>
      <c r="B80" s="3" t="s">
        <v>51</v>
      </c>
      <c r="C80" s="3" t="s">
        <v>222</v>
      </c>
      <c r="D80" s="113" t="s">
        <v>223</v>
      </c>
      <c r="E80" s="110"/>
      <c r="F80" s="3" t="s">
        <v>58</v>
      </c>
      <c r="G80" s="38">
        <v>21.102879999999999</v>
      </c>
      <c r="H80" s="103"/>
      <c r="I80" s="39">
        <v>21</v>
      </c>
      <c r="J80" s="38">
        <f>ROUND(G80*AO80,2)</f>
        <v>0</v>
      </c>
      <c r="K80" s="38">
        <f>ROUND(G80*AP80,2)</f>
        <v>0</v>
      </c>
      <c r="L80" s="38">
        <f>ROUND(G80*H80,2)</f>
        <v>0</v>
      </c>
      <c r="M80" s="38">
        <f>L80*(1+BW80/100)</f>
        <v>0</v>
      </c>
      <c r="N80" s="38">
        <v>1.61E-2</v>
      </c>
      <c r="O80" s="38">
        <f>G80*N80</f>
        <v>0.33975636799999998</v>
      </c>
      <c r="P80" s="40" t="s">
        <v>114</v>
      </c>
      <c r="Z80" s="38">
        <f>ROUND(IF(AQ80="5",BJ80,0),2)</f>
        <v>0</v>
      </c>
      <c r="AB80" s="38">
        <f>ROUND(IF(AQ80="1",BH80,0),2)</f>
        <v>0</v>
      </c>
      <c r="AC80" s="38">
        <f>ROUND(IF(AQ80="1",BI80,0),2)</f>
        <v>0</v>
      </c>
      <c r="AD80" s="38">
        <f>ROUND(IF(AQ80="7",BH80,0),2)</f>
        <v>0</v>
      </c>
      <c r="AE80" s="38">
        <f>ROUND(IF(AQ80="7",BI80,0),2)</f>
        <v>0</v>
      </c>
      <c r="AF80" s="38">
        <f>ROUND(IF(AQ80="2",BH80,0),2)</f>
        <v>0</v>
      </c>
      <c r="AG80" s="38">
        <f>ROUND(IF(AQ80="2",BI80,0),2)</f>
        <v>0</v>
      </c>
      <c r="AH80" s="38">
        <f>ROUND(IF(AQ80="0",BJ80,0),2)</f>
        <v>0</v>
      </c>
      <c r="AI80" s="13" t="s">
        <v>51</v>
      </c>
      <c r="AJ80" s="38">
        <f>IF(AN80=0,L80,0)</f>
        <v>0</v>
      </c>
      <c r="AK80" s="38">
        <f>IF(AN80=12,L80,0)</f>
        <v>0</v>
      </c>
      <c r="AL80" s="38">
        <f>IF(AN80=21,L80,0)</f>
        <v>0</v>
      </c>
      <c r="AN80" s="38">
        <v>21</v>
      </c>
      <c r="AO80" s="38">
        <f>H80*0.457732584</f>
        <v>0</v>
      </c>
      <c r="AP80" s="38">
        <f>H80*(1-0.457732584)</f>
        <v>0</v>
      </c>
      <c r="AQ80" s="41" t="s">
        <v>55</v>
      </c>
      <c r="AV80" s="38">
        <f>ROUND(AW80+AX80,2)</f>
        <v>0</v>
      </c>
      <c r="AW80" s="38">
        <f>ROUND(G80*AO80,2)</f>
        <v>0</v>
      </c>
      <c r="AX80" s="38">
        <f>ROUND(G80*AP80,2)</f>
        <v>0</v>
      </c>
      <c r="AY80" s="41" t="s">
        <v>224</v>
      </c>
      <c r="AZ80" s="41" t="s">
        <v>225</v>
      </c>
      <c r="BA80" s="13" t="s">
        <v>62</v>
      </c>
      <c r="BC80" s="38">
        <f>AW80+AX80</f>
        <v>0</v>
      </c>
      <c r="BD80" s="38">
        <f>H80/(100-BE80)*100</f>
        <v>0</v>
      </c>
      <c r="BE80" s="38">
        <v>0</v>
      </c>
      <c r="BF80" s="38">
        <f>O80</f>
        <v>0.33975636799999998</v>
      </c>
      <c r="BH80" s="38">
        <f>G80*AO80</f>
        <v>0</v>
      </c>
      <c r="BI80" s="38">
        <f>G80*AP80</f>
        <v>0</v>
      </c>
      <c r="BJ80" s="38">
        <f>G80*H80</f>
        <v>0</v>
      </c>
      <c r="BK80" s="38"/>
      <c r="BL80" s="38">
        <v>41</v>
      </c>
      <c r="BW80" s="38">
        <f>I80</f>
        <v>21</v>
      </c>
      <c r="BX80" s="5" t="s">
        <v>223</v>
      </c>
    </row>
    <row r="81" spans="1:76" ht="25.5" x14ac:dyDescent="0.25">
      <c r="A81" s="42"/>
      <c r="C81" s="43" t="s">
        <v>67</v>
      </c>
      <c r="D81" s="179" t="s">
        <v>226</v>
      </c>
      <c r="E81" s="180"/>
      <c r="F81" s="180"/>
      <c r="G81" s="180"/>
      <c r="H81" s="180"/>
      <c r="I81" s="180"/>
      <c r="J81" s="180"/>
      <c r="K81" s="180"/>
      <c r="L81" s="180"/>
      <c r="M81" s="180"/>
      <c r="N81" s="180"/>
      <c r="O81" s="180"/>
      <c r="P81" s="181"/>
      <c r="BX81" s="44" t="s">
        <v>226</v>
      </c>
    </row>
    <row r="82" spans="1:76" x14ac:dyDescent="0.25">
      <c r="A82" s="2" t="s">
        <v>227</v>
      </c>
      <c r="B82" s="3" t="s">
        <v>51</v>
      </c>
      <c r="C82" s="3" t="s">
        <v>228</v>
      </c>
      <c r="D82" s="113" t="s">
        <v>229</v>
      </c>
      <c r="E82" s="110"/>
      <c r="F82" s="3" t="s">
        <v>58</v>
      </c>
      <c r="G82" s="38">
        <v>11.28</v>
      </c>
      <c r="H82" s="103"/>
      <c r="I82" s="39">
        <v>21</v>
      </c>
      <c r="J82" s="38">
        <f>ROUND(G82*AO82,2)</f>
        <v>0</v>
      </c>
      <c r="K82" s="38">
        <f>ROUND(G82*AP82,2)</f>
        <v>0</v>
      </c>
      <c r="L82" s="38">
        <f>ROUND(G82*H82,2)</f>
        <v>0</v>
      </c>
      <c r="M82" s="38">
        <f>L82*(1+BW82/100)</f>
        <v>0</v>
      </c>
      <c r="N82" s="38">
        <v>0</v>
      </c>
      <c r="O82" s="38">
        <f>G82*N82</f>
        <v>0</v>
      </c>
      <c r="P82" s="40" t="s">
        <v>59</v>
      </c>
      <c r="Z82" s="38">
        <f>ROUND(IF(AQ82="5",BJ82,0),2)</f>
        <v>0</v>
      </c>
      <c r="AB82" s="38">
        <f>ROUND(IF(AQ82="1",BH82,0),2)</f>
        <v>0</v>
      </c>
      <c r="AC82" s="38">
        <f>ROUND(IF(AQ82="1",BI82,0),2)</f>
        <v>0</v>
      </c>
      <c r="AD82" s="38">
        <f>ROUND(IF(AQ82="7",BH82,0),2)</f>
        <v>0</v>
      </c>
      <c r="AE82" s="38">
        <f>ROUND(IF(AQ82="7",BI82,0),2)</f>
        <v>0</v>
      </c>
      <c r="AF82" s="38">
        <f>ROUND(IF(AQ82="2",BH82,0),2)</f>
        <v>0</v>
      </c>
      <c r="AG82" s="38">
        <f>ROUND(IF(AQ82="2",BI82,0),2)</f>
        <v>0</v>
      </c>
      <c r="AH82" s="38">
        <f>ROUND(IF(AQ82="0",BJ82,0),2)</f>
        <v>0</v>
      </c>
      <c r="AI82" s="13" t="s">
        <v>51</v>
      </c>
      <c r="AJ82" s="38">
        <f>IF(AN82=0,L82,0)</f>
        <v>0</v>
      </c>
      <c r="AK82" s="38">
        <f>IF(AN82=12,L82,0)</f>
        <v>0</v>
      </c>
      <c r="AL82" s="38">
        <f>IF(AN82=21,L82,0)</f>
        <v>0</v>
      </c>
      <c r="AN82" s="38">
        <v>21</v>
      </c>
      <c r="AO82" s="38">
        <f>H82*0</f>
        <v>0</v>
      </c>
      <c r="AP82" s="38">
        <f>H82*(1-0)</f>
        <v>0</v>
      </c>
      <c r="AQ82" s="41" t="s">
        <v>55</v>
      </c>
      <c r="AV82" s="38">
        <f>ROUND(AW82+AX82,2)</f>
        <v>0</v>
      </c>
      <c r="AW82" s="38">
        <f>ROUND(G82*AO82,2)</f>
        <v>0</v>
      </c>
      <c r="AX82" s="38">
        <f>ROUND(G82*AP82,2)</f>
        <v>0</v>
      </c>
      <c r="AY82" s="41" t="s">
        <v>224</v>
      </c>
      <c r="AZ82" s="41" t="s">
        <v>225</v>
      </c>
      <c r="BA82" s="13" t="s">
        <v>62</v>
      </c>
      <c r="BC82" s="38">
        <f>AW82+AX82</f>
        <v>0</v>
      </c>
      <c r="BD82" s="38">
        <f>H82/(100-BE82)*100</f>
        <v>0</v>
      </c>
      <c r="BE82" s="38">
        <v>0</v>
      </c>
      <c r="BF82" s="38">
        <f>O82</f>
        <v>0</v>
      </c>
      <c r="BH82" s="38">
        <f>G82*AO82</f>
        <v>0</v>
      </c>
      <c r="BI82" s="38">
        <f>G82*AP82</f>
        <v>0</v>
      </c>
      <c r="BJ82" s="38">
        <f>G82*H82</f>
        <v>0</v>
      </c>
      <c r="BK82" s="38"/>
      <c r="BL82" s="38">
        <v>41</v>
      </c>
      <c r="BW82" s="38">
        <f>I82</f>
        <v>21</v>
      </c>
      <c r="BX82" s="5" t="s">
        <v>229</v>
      </c>
    </row>
    <row r="83" spans="1:76" ht="38.25" x14ac:dyDescent="0.25">
      <c r="A83" s="42"/>
      <c r="C83" s="43" t="s">
        <v>67</v>
      </c>
      <c r="D83" s="179" t="s">
        <v>230</v>
      </c>
      <c r="E83" s="180"/>
      <c r="F83" s="180"/>
      <c r="G83" s="180"/>
      <c r="H83" s="180"/>
      <c r="I83" s="180"/>
      <c r="J83" s="180"/>
      <c r="K83" s="180"/>
      <c r="L83" s="180"/>
      <c r="M83" s="180"/>
      <c r="N83" s="180"/>
      <c r="O83" s="180"/>
      <c r="P83" s="181"/>
      <c r="BX83" s="44" t="s">
        <v>230</v>
      </c>
    </row>
    <row r="84" spans="1:76" x14ac:dyDescent="0.25">
      <c r="A84" s="2" t="s">
        <v>231</v>
      </c>
      <c r="B84" s="3" t="s">
        <v>51</v>
      </c>
      <c r="C84" s="3" t="s">
        <v>218</v>
      </c>
      <c r="D84" s="113" t="s">
        <v>219</v>
      </c>
      <c r="E84" s="110"/>
      <c r="F84" s="3" t="s">
        <v>134</v>
      </c>
      <c r="G84" s="38">
        <v>0.33976000000000001</v>
      </c>
      <c r="H84" s="103"/>
      <c r="I84" s="39">
        <v>21</v>
      </c>
      <c r="J84" s="38">
        <f>ROUND(G84*AO84,2)</f>
        <v>0</v>
      </c>
      <c r="K84" s="38">
        <f>ROUND(G84*AP84,2)</f>
        <v>0</v>
      </c>
      <c r="L84" s="38">
        <f>ROUND(G84*H84,2)</f>
        <v>0</v>
      </c>
      <c r="M84" s="38">
        <f>L84*(1+BW84/100)</f>
        <v>0</v>
      </c>
      <c r="N84" s="38">
        <v>0</v>
      </c>
      <c r="O84" s="38">
        <f>G84*N84</f>
        <v>0</v>
      </c>
      <c r="P84" s="40" t="s">
        <v>59</v>
      </c>
      <c r="Z84" s="38">
        <f>ROUND(IF(AQ84="5",BJ84,0),2)</f>
        <v>0</v>
      </c>
      <c r="AB84" s="38">
        <f>ROUND(IF(AQ84="1",BH84,0),2)</f>
        <v>0</v>
      </c>
      <c r="AC84" s="38">
        <f>ROUND(IF(AQ84="1",BI84,0),2)</f>
        <v>0</v>
      </c>
      <c r="AD84" s="38">
        <f>ROUND(IF(AQ84="7",BH84,0),2)</f>
        <v>0</v>
      </c>
      <c r="AE84" s="38">
        <f>ROUND(IF(AQ84="7",BI84,0),2)</f>
        <v>0</v>
      </c>
      <c r="AF84" s="38">
        <f>ROUND(IF(AQ84="2",BH84,0),2)</f>
        <v>0</v>
      </c>
      <c r="AG84" s="38">
        <f>ROUND(IF(AQ84="2",BI84,0),2)</f>
        <v>0</v>
      </c>
      <c r="AH84" s="38">
        <f>ROUND(IF(AQ84="0",BJ84,0),2)</f>
        <v>0</v>
      </c>
      <c r="AI84" s="13" t="s">
        <v>51</v>
      </c>
      <c r="AJ84" s="38">
        <f>IF(AN84=0,L84,0)</f>
        <v>0</v>
      </c>
      <c r="AK84" s="38">
        <f>IF(AN84=12,L84,0)</f>
        <v>0</v>
      </c>
      <c r="AL84" s="38">
        <f>IF(AN84=21,L84,0)</f>
        <v>0</v>
      </c>
      <c r="AN84" s="38">
        <v>21</v>
      </c>
      <c r="AO84" s="38">
        <f>H84*0</f>
        <v>0</v>
      </c>
      <c r="AP84" s="38">
        <f>H84*(1-0)</f>
        <v>0</v>
      </c>
      <c r="AQ84" s="41" t="s">
        <v>77</v>
      </c>
      <c r="AV84" s="38">
        <f>ROUND(AW84+AX84,2)</f>
        <v>0</v>
      </c>
      <c r="AW84" s="38">
        <f>ROUND(G84*AO84,2)</f>
        <v>0</v>
      </c>
      <c r="AX84" s="38">
        <f>ROUND(G84*AP84,2)</f>
        <v>0</v>
      </c>
      <c r="AY84" s="41" t="s">
        <v>224</v>
      </c>
      <c r="AZ84" s="41" t="s">
        <v>225</v>
      </c>
      <c r="BA84" s="13" t="s">
        <v>62</v>
      </c>
      <c r="BC84" s="38">
        <f>AW84+AX84</f>
        <v>0</v>
      </c>
      <c r="BD84" s="38">
        <f>H84/(100-BE84)*100</f>
        <v>0</v>
      </c>
      <c r="BE84" s="38">
        <v>0</v>
      </c>
      <c r="BF84" s="38">
        <f>O84</f>
        <v>0</v>
      </c>
      <c r="BH84" s="38">
        <f>G84*AO84</f>
        <v>0</v>
      </c>
      <c r="BI84" s="38">
        <f>G84*AP84</f>
        <v>0</v>
      </c>
      <c r="BJ84" s="38">
        <f>G84*H84</f>
        <v>0</v>
      </c>
      <c r="BK84" s="38"/>
      <c r="BL84" s="38">
        <v>41</v>
      </c>
      <c r="BW84" s="38">
        <f>I84</f>
        <v>21</v>
      </c>
      <c r="BX84" s="5" t="s">
        <v>219</v>
      </c>
    </row>
    <row r="85" spans="1:76" x14ac:dyDescent="0.25">
      <c r="A85" s="33" t="s">
        <v>50</v>
      </c>
      <c r="B85" s="34" t="s">
        <v>51</v>
      </c>
      <c r="C85" s="34" t="s">
        <v>232</v>
      </c>
      <c r="D85" s="191" t="s">
        <v>233</v>
      </c>
      <c r="E85" s="192"/>
      <c r="F85" s="36" t="s">
        <v>4</v>
      </c>
      <c r="G85" s="36" t="s">
        <v>4</v>
      </c>
      <c r="H85" s="36" t="s">
        <v>4</v>
      </c>
      <c r="I85" s="36" t="s">
        <v>4</v>
      </c>
      <c r="J85" s="1">
        <f>SUM(J86:J92)</f>
        <v>0</v>
      </c>
      <c r="K85" s="1">
        <f>SUM(K86:K92)</f>
        <v>0</v>
      </c>
      <c r="L85" s="1">
        <f>SUM(L86:L92)</f>
        <v>0</v>
      </c>
      <c r="M85" s="1">
        <f>SUM(M86:M92)</f>
        <v>0</v>
      </c>
      <c r="N85" s="13" t="s">
        <v>50</v>
      </c>
      <c r="O85" s="1">
        <f>SUM(O86:O92)</f>
        <v>0.64232860000000003</v>
      </c>
      <c r="P85" s="37" t="s">
        <v>50</v>
      </c>
      <c r="AI85" s="13" t="s">
        <v>51</v>
      </c>
      <c r="AS85" s="1">
        <f>SUM(AJ86:AJ92)</f>
        <v>0</v>
      </c>
      <c r="AT85" s="1">
        <f>SUM(AK86:AK92)</f>
        <v>0</v>
      </c>
      <c r="AU85" s="1">
        <f>SUM(AL86:AL92)</f>
        <v>0</v>
      </c>
    </row>
    <row r="86" spans="1:76" x14ac:dyDescent="0.25">
      <c r="A86" s="2" t="s">
        <v>234</v>
      </c>
      <c r="B86" s="3" t="s">
        <v>51</v>
      </c>
      <c r="C86" s="3" t="s">
        <v>235</v>
      </c>
      <c r="D86" s="113" t="s">
        <v>236</v>
      </c>
      <c r="E86" s="110"/>
      <c r="F86" s="3" t="s">
        <v>58</v>
      </c>
      <c r="G86" s="38">
        <v>80.58</v>
      </c>
      <c r="H86" s="103"/>
      <c r="I86" s="39">
        <v>21</v>
      </c>
      <c r="J86" s="38">
        <f>ROUND(G86*AO86,2)</f>
        <v>0</v>
      </c>
      <c r="K86" s="38">
        <f>ROUND(G86*AP86,2)</f>
        <v>0</v>
      </c>
      <c r="L86" s="38">
        <f>ROUND(G86*H86,2)</f>
        <v>0</v>
      </c>
      <c r="M86" s="38">
        <f>L86*(1+BW86/100)</f>
        <v>0</v>
      </c>
      <c r="N86" s="38">
        <v>3.6700000000000001E-3</v>
      </c>
      <c r="O86" s="38">
        <f>G86*N86</f>
        <v>0.29572860000000001</v>
      </c>
      <c r="P86" s="40" t="s">
        <v>59</v>
      </c>
      <c r="Z86" s="38">
        <f>ROUND(IF(AQ86="5",BJ86,0),2)</f>
        <v>0</v>
      </c>
      <c r="AB86" s="38">
        <f>ROUND(IF(AQ86="1",BH86,0),2)</f>
        <v>0</v>
      </c>
      <c r="AC86" s="38">
        <f>ROUND(IF(AQ86="1",BI86,0),2)</f>
        <v>0</v>
      </c>
      <c r="AD86" s="38">
        <f>ROUND(IF(AQ86="7",BH86,0),2)</f>
        <v>0</v>
      </c>
      <c r="AE86" s="38">
        <f>ROUND(IF(AQ86="7",BI86,0),2)</f>
        <v>0</v>
      </c>
      <c r="AF86" s="38">
        <f>ROUND(IF(AQ86="2",BH86,0),2)</f>
        <v>0</v>
      </c>
      <c r="AG86" s="38">
        <f>ROUND(IF(AQ86="2",BI86,0),2)</f>
        <v>0</v>
      </c>
      <c r="AH86" s="38">
        <f>ROUND(IF(AQ86="0",BJ86,0),2)</f>
        <v>0</v>
      </c>
      <c r="AI86" s="13" t="s">
        <v>51</v>
      </c>
      <c r="AJ86" s="38">
        <f>IF(AN86=0,L86,0)</f>
        <v>0</v>
      </c>
      <c r="AK86" s="38">
        <f>IF(AN86=12,L86,0)</f>
        <v>0</v>
      </c>
      <c r="AL86" s="38">
        <f>IF(AN86=21,L86,0)</f>
        <v>0</v>
      </c>
      <c r="AN86" s="38">
        <v>21</v>
      </c>
      <c r="AO86" s="38">
        <f>H86*0.265633624</f>
        <v>0</v>
      </c>
      <c r="AP86" s="38">
        <f>H86*(1-0.265633624)</f>
        <v>0</v>
      </c>
      <c r="AQ86" s="41" t="s">
        <v>55</v>
      </c>
      <c r="AV86" s="38">
        <f>ROUND(AW86+AX86,2)</f>
        <v>0</v>
      </c>
      <c r="AW86" s="38">
        <f>ROUND(G86*AO86,2)</f>
        <v>0</v>
      </c>
      <c r="AX86" s="38">
        <f>ROUND(G86*AP86,2)</f>
        <v>0</v>
      </c>
      <c r="AY86" s="41" t="s">
        <v>237</v>
      </c>
      <c r="AZ86" s="41" t="s">
        <v>238</v>
      </c>
      <c r="BA86" s="13" t="s">
        <v>62</v>
      </c>
      <c r="BC86" s="38">
        <f>AW86+AX86</f>
        <v>0</v>
      </c>
      <c r="BD86" s="38">
        <f>H86/(100-BE86)*100</f>
        <v>0</v>
      </c>
      <c r="BE86" s="38">
        <v>0</v>
      </c>
      <c r="BF86" s="38">
        <f>O86</f>
        <v>0.29572860000000001</v>
      </c>
      <c r="BH86" s="38">
        <f>G86*AO86</f>
        <v>0</v>
      </c>
      <c r="BI86" s="38">
        <f>G86*AP86</f>
        <v>0</v>
      </c>
      <c r="BJ86" s="38">
        <f>G86*H86</f>
        <v>0</v>
      </c>
      <c r="BK86" s="38"/>
      <c r="BL86" s="38">
        <v>61</v>
      </c>
      <c r="BW86" s="38">
        <f>I86</f>
        <v>21</v>
      </c>
      <c r="BX86" s="5" t="s">
        <v>236</v>
      </c>
    </row>
    <row r="87" spans="1:76" ht="13.5" customHeight="1" x14ac:dyDescent="0.25">
      <c r="A87" s="42"/>
      <c r="C87" s="43" t="s">
        <v>87</v>
      </c>
      <c r="D87" s="179" t="s">
        <v>239</v>
      </c>
      <c r="E87" s="180"/>
      <c r="F87" s="180"/>
      <c r="G87" s="180"/>
      <c r="H87" s="180"/>
      <c r="I87" s="180"/>
      <c r="J87" s="180"/>
      <c r="K87" s="180"/>
      <c r="L87" s="180"/>
      <c r="M87" s="180"/>
      <c r="N87" s="180"/>
      <c r="O87" s="180"/>
      <c r="P87" s="181"/>
    </row>
    <row r="88" spans="1:76" x14ac:dyDescent="0.25">
      <c r="A88" s="42"/>
      <c r="C88" s="43" t="s">
        <v>67</v>
      </c>
      <c r="D88" s="179" t="s">
        <v>240</v>
      </c>
      <c r="E88" s="180"/>
      <c r="F88" s="180"/>
      <c r="G88" s="180"/>
      <c r="H88" s="180"/>
      <c r="I88" s="180"/>
      <c r="J88" s="180"/>
      <c r="K88" s="180"/>
      <c r="L88" s="180"/>
      <c r="M88" s="180"/>
      <c r="N88" s="180"/>
      <c r="O88" s="180"/>
      <c r="P88" s="181"/>
      <c r="BX88" s="44" t="s">
        <v>240</v>
      </c>
    </row>
    <row r="89" spans="1:76" x14ac:dyDescent="0.25">
      <c r="A89" s="2" t="s">
        <v>241</v>
      </c>
      <c r="B89" s="3" t="s">
        <v>51</v>
      </c>
      <c r="C89" s="3" t="s">
        <v>242</v>
      </c>
      <c r="D89" s="113" t="s">
        <v>243</v>
      </c>
      <c r="E89" s="110"/>
      <c r="F89" s="3" t="s">
        <v>100</v>
      </c>
      <c r="G89" s="38">
        <v>20</v>
      </c>
      <c r="H89" s="103"/>
      <c r="I89" s="39">
        <v>21</v>
      </c>
      <c r="J89" s="38">
        <f>ROUND(G89*AO89,2)</f>
        <v>0</v>
      </c>
      <c r="K89" s="38">
        <f>ROUND(G89*AP89,2)</f>
        <v>0</v>
      </c>
      <c r="L89" s="38">
        <f>ROUND(G89*H89,2)</f>
        <v>0</v>
      </c>
      <c r="M89" s="38">
        <f>L89*(1+BW89/100)</f>
        <v>0</v>
      </c>
      <c r="N89" s="38">
        <v>1.7330000000000002E-2</v>
      </c>
      <c r="O89" s="38">
        <f>G89*N89</f>
        <v>0.34660000000000002</v>
      </c>
      <c r="P89" s="40" t="s">
        <v>59</v>
      </c>
      <c r="Z89" s="38">
        <f>ROUND(IF(AQ89="5",BJ89,0),2)</f>
        <v>0</v>
      </c>
      <c r="AB89" s="38">
        <f>ROUND(IF(AQ89="1",BH89,0),2)</f>
        <v>0</v>
      </c>
      <c r="AC89" s="38">
        <f>ROUND(IF(AQ89="1",BI89,0),2)</f>
        <v>0</v>
      </c>
      <c r="AD89" s="38">
        <f>ROUND(IF(AQ89="7",BH89,0),2)</f>
        <v>0</v>
      </c>
      <c r="AE89" s="38">
        <f>ROUND(IF(AQ89="7",BI89,0),2)</f>
        <v>0</v>
      </c>
      <c r="AF89" s="38">
        <f>ROUND(IF(AQ89="2",BH89,0),2)</f>
        <v>0</v>
      </c>
      <c r="AG89" s="38">
        <f>ROUND(IF(AQ89="2",BI89,0),2)</f>
        <v>0</v>
      </c>
      <c r="AH89" s="38">
        <f>ROUND(IF(AQ89="0",BJ89,0),2)</f>
        <v>0</v>
      </c>
      <c r="AI89" s="13" t="s">
        <v>51</v>
      </c>
      <c r="AJ89" s="38">
        <f>IF(AN89=0,L89,0)</f>
        <v>0</v>
      </c>
      <c r="AK89" s="38">
        <f>IF(AN89=12,L89,0)</f>
        <v>0</v>
      </c>
      <c r="AL89" s="38">
        <f>IF(AN89=21,L89,0)</f>
        <v>0</v>
      </c>
      <c r="AN89" s="38">
        <v>21</v>
      </c>
      <c r="AO89" s="38">
        <f>H89*0.420807389</f>
        <v>0</v>
      </c>
      <c r="AP89" s="38">
        <f>H89*(1-0.420807389)</f>
        <v>0</v>
      </c>
      <c r="AQ89" s="41" t="s">
        <v>55</v>
      </c>
      <c r="AV89" s="38">
        <f>ROUND(AW89+AX89,2)</f>
        <v>0</v>
      </c>
      <c r="AW89" s="38">
        <f>ROUND(G89*AO89,2)</f>
        <v>0</v>
      </c>
      <c r="AX89" s="38">
        <f>ROUND(G89*AP89,2)</f>
        <v>0</v>
      </c>
      <c r="AY89" s="41" t="s">
        <v>237</v>
      </c>
      <c r="AZ89" s="41" t="s">
        <v>238</v>
      </c>
      <c r="BA89" s="13" t="s">
        <v>62</v>
      </c>
      <c r="BC89" s="38">
        <f>AW89+AX89</f>
        <v>0</v>
      </c>
      <c r="BD89" s="38">
        <f>H89/(100-BE89)*100</f>
        <v>0</v>
      </c>
      <c r="BE89" s="38">
        <v>0</v>
      </c>
      <c r="BF89" s="38">
        <f>O89</f>
        <v>0.34660000000000002</v>
      </c>
      <c r="BH89" s="38">
        <f>G89*AO89</f>
        <v>0</v>
      </c>
      <c r="BI89" s="38">
        <f>G89*AP89</f>
        <v>0</v>
      </c>
      <c r="BJ89" s="38">
        <f>G89*H89</f>
        <v>0</v>
      </c>
      <c r="BK89" s="38"/>
      <c r="BL89" s="38">
        <v>61</v>
      </c>
      <c r="BW89" s="38">
        <f>I89</f>
        <v>21</v>
      </c>
      <c r="BX89" s="5" t="s">
        <v>243</v>
      </c>
    </row>
    <row r="90" spans="1:76" ht="13.5" customHeight="1" x14ac:dyDescent="0.25">
      <c r="A90" s="42"/>
      <c r="C90" s="43" t="s">
        <v>87</v>
      </c>
      <c r="D90" s="179" t="s">
        <v>244</v>
      </c>
      <c r="E90" s="180"/>
      <c r="F90" s="180"/>
      <c r="G90" s="180"/>
      <c r="H90" s="180"/>
      <c r="I90" s="180"/>
      <c r="J90" s="180"/>
      <c r="K90" s="180"/>
      <c r="L90" s="180"/>
      <c r="M90" s="180"/>
      <c r="N90" s="180"/>
      <c r="O90" s="180"/>
      <c r="P90" s="181"/>
    </row>
    <row r="91" spans="1:76" x14ac:dyDescent="0.25">
      <c r="A91" s="42"/>
      <c r="C91" s="43" t="s">
        <v>67</v>
      </c>
      <c r="D91" s="179" t="s">
        <v>245</v>
      </c>
      <c r="E91" s="180"/>
      <c r="F91" s="180"/>
      <c r="G91" s="180"/>
      <c r="H91" s="180"/>
      <c r="I91" s="180"/>
      <c r="J91" s="180"/>
      <c r="K91" s="180"/>
      <c r="L91" s="180"/>
      <c r="M91" s="180"/>
      <c r="N91" s="180"/>
      <c r="O91" s="180"/>
      <c r="P91" s="181"/>
      <c r="BX91" s="44" t="s">
        <v>245</v>
      </c>
    </row>
    <row r="92" spans="1:76" x14ac:dyDescent="0.25">
      <c r="A92" s="2" t="s">
        <v>246</v>
      </c>
      <c r="B92" s="3" t="s">
        <v>51</v>
      </c>
      <c r="C92" s="3" t="s">
        <v>218</v>
      </c>
      <c r="D92" s="113" t="s">
        <v>219</v>
      </c>
      <c r="E92" s="110"/>
      <c r="F92" s="3" t="s">
        <v>134</v>
      </c>
      <c r="G92" s="38">
        <v>0.64232999999999996</v>
      </c>
      <c r="H92" s="103"/>
      <c r="I92" s="39">
        <v>21</v>
      </c>
      <c r="J92" s="38">
        <f>ROUND(G92*AO92,2)</f>
        <v>0</v>
      </c>
      <c r="K92" s="38">
        <f>ROUND(G92*AP92,2)</f>
        <v>0</v>
      </c>
      <c r="L92" s="38">
        <f>ROUND(G92*H92,2)</f>
        <v>0</v>
      </c>
      <c r="M92" s="38">
        <f>L92*(1+BW92/100)</f>
        <v>0</v>
      </c>
      <c r="N92" s="38">
        <v>0</v>
      </c>
      <c r="O92" s="38">
        <f>G92*N92</f>
        <v>0</v>
      </c>
      <c r="P92" s="40" t="s">
        <v>59</v>
      </c>
      <c r="Z92" s="38">
        <f>ROUND(IF(AQ92="5",BJ92,0),2)</f>
        <v>0</v>
      </c>
      <c r="AB92" s="38">
        <f>ROUND(IF(AQ92="1",BH92,0),2)</f>
        <v>0</v>
      </c>
      <c r="AC92" s="38">
        <f>ROUND(IF(AQ92="1",BI92,0),2)</f>
        <v>0</v>
      </c>
      <c r="AD92" s="38">
        <f>ROUND(IF(AQ92="7",BH92,0),2)</f>
        <v>0</v>
      </c>
      <c r="AE92" s="38">
        <f>ROUND(IF(AQ92="7",BI92,0),2)</f>
        <v>0</v>
      </c>
      <c r="AF92" s="38">
        <f>ROUND(IF(AQ92="2",BH92,0),2)</f>
        <v>0</v>
      </c>
      <c r="AG92" s="38">
        <f>ROUND(IF(AQ92="2",BI92,0),2)</f>
        <v>0</v>
      </c>
      <c r="AH92" s="38">
        <f>ROUND(IF(AQ92="0",BJ92,0),2)</f>
        <v>0</v>
      </c>
      <c r="AI92" s="13" t="s">
        <v>51</v>
      </c>
      <c r="AJ92" s="38">
        <f>IF(AN92=0,L92,0)</f>
        <v>0</v>
      </c>
      <c r="AK92" s="38">
        <f>IF(AN92=12,L92,0)</f>
        <v>0</v>
      </c>
      <c r="AL92" s="38">
        <f>IF(AN92=21,L92,0)</f>
        <v>0</v>
      </c>
      <c r="AN92" s="38">
        <v>21</v>
      </c>
      <c r="AO92" s="38">
        <f>H92*0</f>
        <v>0</v>
      </c>
      <c r="AP92" s="38">
        <f>H92*(1-0)</f>
        <v>0</v>
      </c>
      <c r="AQ92" s="41" t="s">
        <v>77</v>
      </c>
      <c r="AV92" s="38">
        <f>ROUND(AW92+AX92,2)</f>
        <v>0</v>
      </c>
      <c r="AW92" s="38">
        <f>ROUND(G92*AO92,2)</f>
        <v>0</v>
      </c>
      <c r="AX92" s="38">
        <f>ROUND(G92*AP92,2)</f>
        <v>0</v>
      </c>
      <c r="AY92" s="41" t="s">
        <v>237</v>
      </c>
      <c r="AZ92" s="41" t="s">
        <v>238</v>
      </c>
      <c r="BA92" s="13" t="s">
        <v>62</v>
      </c>
      <c r="BC92" s="38">
        <f>AW92+AX92</f>
        <v>0</v>
      </c>
      <c r="BD92" s="38">
        <f>H92/(100-BE92)*100</f>
        <v>0</v>
      </c>
      <c r="BE92" s="38">
        <v>0</v>
      </c>
      <c r="BF92" s="38">
        <f>O92</f>
        <v>0</v>
      </c>
      <c r="BH92" s="38">
        <f>G92*AO92</f>
        <v>0</v>
      </c>
      <c r="BI92" s="38">
        <f>G92*AP92</f>
        <v>0</v>
      </c>
      <c r="BJ92" s="38">
        <f>G92*H92</f>
        <v>0</v>
      </c>
      <c r="BK92" s="38"/>
      <c r="BL92" s="38">
        <v>61</v>
      </c>
      <c r="BW92" s="38">
        <f>I92</f>
        <v>21</v>
      </c>
      <c r="BX92" s="5" t="s">
        <v>219</v>
      </c>
    </row>
    <row r="93" spans="1:76" x14ac:dyDescent="0.25">
      <c r="A93" s="33" t="s">
        <v>50</v>
      </c>
      <c r="B93" s="34" t="s">
        <v>51</v>
      </c>
      <c r="C93" s="34" t="s">
        <v>247</v>
      </c>
      <c r="D93" s="191" t="s">
        <v>248</v>
      </c>
      <c r="E93" s="192"/>
      <c r="F93" s="36" t="s">
        <v>4</v>
      </c>
      <c r="G93" s="36" t="s">
        <v>4</v>
      </c>
      <c r="H93" s="36" t="s">
        <v>4</v>
      </c>
      <c r="I93" s="36" t="s">
        <v>4</v>
      </c>
      <c r="J93" s="1">
        <f>SUM(J94:J97)</f>
        <v>0</v>
      </c>
      <c r="K93" s="1">
        <f>SUM(K94:K97)</f>
        <v>0</v>
      </c>
      <c r="L93" s="1">
        <f>SUM(L94:L97)</f>
        <v>0</v>
      </c>
      <c r="M93" s="1">
        <f>SUM(M94:M97)</f>
        <v>0</v>
      </c>
      <c r="N93" s="13" t="s">
        <v>50</v>
      </c>
      <c r="O93" s="1">
        <f>SUM(O94:O97)</f>
        <v>0.30750135000000001</v>
      </c>
      <c r="P93" s="37" t="s">
        <v>50</v>
      </c>
      <c r="AI93" s="13" t="s">
        <v>51</v>
      </c>
      <c r="AS93" s="1">
        <f>SUM(AJ94:AJ97)</f>
        <v>0</v>
      </c>
      <c r="AT93" s="1">
        <f>SUM(AK94:AK97)</f>
        <v>0</v>
      </c>
      <c r="AU93" s="1">
        <f>SUM(AL94:AL97)</f>
        <v>0</v>
      </c>
    </row>
    <row r="94" spans="1:76" x14ac:dyDescent="0.25">
      <c r="A94" s="2" t="s">
        <v>249</v>
      </c>
      <c r="B94" s="3" t="s">
        <v>51</v>
      </c>
      <c r="C94" s="3" t="s">
        <v>250</v>
      </c>
      <c r="D94" s="113" t="s">
        <v>251</v>
      </c>
      <c r="E94" s="110"/>
      <c r="F94" s="3" t="s">
        <v>58</v>
      </c>
      <c r="G94" s="38">
        <v>11.4825</v>
      </c>
      <c r="H94" s="103"/>
      <c r="I94" s="39">
        <v>21</v>
      </c>
      <c r="J94" s="38">
        <f>ROUND(G94*AO94,2)</f>
        <v>0</v>
      </c>
      <c r="K94" s="38">
        <f>ROUND(G94*AP94,2)</f>
        <v>0</v>
      </c>
      <c r="L94" s="38">
        <f>ROUND(G94*H94,2)</f>
        <v>0</v>
      </c>
      <c r="M94" s="38">
        <f>L94*(1+BW94/100)</f>
        <v>0</v>
      </c>
      <c r="N94" s="38">
        <v>0</v>
      </c>
      <c r="O94" s="38">
        <f>G94*N94</f>
        <v>0</v>
      </c>
      <c r="P94" s="40" t="s">
        <v>59</v>
      </c>
      <c r="Z94" s="38">
        <f>ROUND(IF(AQ94="5",BJ94,0),2)</f>
        <v>0</v>
      </c>
      <c r="AB94" s="38">
        <f>ROUND(IF(AQ94="1",BH94,0),2)</f>
        <v>0</v>
      </c>
      <c r="AC94" s="38">
        <f>ROUND(IF(AQ94="1",BI94,0),2)</f>
        <v>0</v>
      </c>
      <c r="AD94" s="38">
        <f>ROUND(IF(AQ94="7",BH94,0),2)</f>
        <v>0</v>
      </c>
      <c r="AE94" s="38">
        <f>ROUND(IF(AQ94="7",BI94,0),2)</f>
        <v>0</v>
      </c>
      <c r="AF94" s="38">
        <f>ROUND(IF(AQ94="2",BH94,0),2)</f>
        <v>0</v>
      </c>
      <c r="AG94" s="38">
        <f>ROUND(IF(AQ94="2",BI94,0),2)</f>
        <v>0</v>
      </c>
      <c r="AH94" s="38">
        <f>ROUND(IF(AQ94="0",BJ94,0),2)</f>
        <v>0</v>
      </c>
      <c r="AI94" s="13" t="s">
        <v>51</v>
      </c>
      <c r="AJ94" s="38">
        <f>IF(AN94=0,L94,0)</f>
        <v>0</v>
      </c>
      <c r="AK94" s="38">
        <f>IF(AN94=12,L94,0)</f>
        <v>0</v>
      </c>
      <c r="AL94" s="38">
        <f>IF(AN94=21,L94,0)</f>
        <v>0</v>
      </c>
      <c r="AN94" s="38">
        <v>21</v>
      </c>
      <c r="AO94" s="38">
        <f>H94*0</f>
        <v>0</v>
      </c>
      <c r="AP94" s="38">
        <f>H94*(1-0)</f>
        <v>0</v>
      </c>
      <c r="AQ94" s="41" t="s">
        <v>55</v>
      </c>
      <c r="AV94" s="38">
        <f>ROUND(AW94+AX94,2)</f>
        <v>0</v>
      </c>
      <c r="AW94" s="38">
        <f>ROUND(G94*AO94,2)</f>
        <v>0</v>
      </c>
      <c r="AX94" s="38">
        <f>ROUND(G94*AP94,2)</f>
        <v>0</v>
      </c>
      <c r="AY94" s="41" t="s">
        <v>252</v>
      </c>
      <c r="AZ94" s="41" t="s">
        <v>238</v>
      </c>
      <c r="BA94" s="13" t="s">
        <v>62</v>
      </c>
      <c r="BC94" s="38">
        <f>AW94+AX94</f>
        <v>0</v>
      </c>
      <c r="BD94" s="38">
        <f>H94/(100-BE94)*100</f>
        <v>0</v>
      </c>
      <c r="BE94" s="38">
        <v>0</v>
      </c>
      <c r="BF94" s="38">
        <f>O94</f>
        <v>0</v>
      </c>
      <c r="BH94" s="38">
        <f>G94*AO94</f>
        <v>0</v>
      </c>
      <c r="BI94" s="38">
        <f>G94*AP94</f>
        <v>0</v>
      </c>
      <c r="BJ94" s="38">
        <f>G94*H94</f>
        <v>0</v>
      </c>
      <c r="BK94" s="38"/>
      <c r="BL94" s="38">
        <v>63</v>
      </c>
      <c r="BW94" s="38">
        <f>I94</f>
        <v>21</v>
      </c>
      <c r="BX94" s="5" t="s">
        <v>251</v>
      </c>
    </row>
    <row r="95" spans="1:76" ht="38.25" x14ac:dyDescent="0.25">
      <c r="A95" s="42"/>
      <c r="C95" s="43" t="s">
        <v>67</v>
      </c>
      <c r="D95" s="179" t="s">
        <v>253</v>
      </c>
      <c r="E95" s="180"/>
      <c r="F95" s="180"/>
      <c r="G95" s="180"/>
      <c r="H95" s="180"/>
      <c r="I95" s="180"/>
      <c r="J95" s="180"/>
      <c r="K95" s="180"/>
      <c r="L95" s="180"/>
      <c r="M95" s="180"/>
      <c r="N95" s="180"/>
      <c r="O95" s="180"/>
      <c r="P95" s="181"/>
      <c r="BX95" s="44" t="s">
        <v>253</v>
      </c>
    </row>
    <row r="96" spans="1:76" x14ac:dyDescent="0.25">
      <c r="A96" s="2" t="s">
        <v>254</v>
      </c>
      <c r="B96" s="3" t="s">
        <v>51</v>
      </c>
      <c r="C96" s="3" t="s">
        <v>255</v>
      </c>
      <c r="D96" s="113" t="s">
        <v>256</v>
      </c>
      <c r="E96" s="110"/>
      <c r="F96" s="3" t="s">
        <v>58</v>
      </c>
      <c r="G96" s="38">
        <v>11.4825</v>
      </c>
      <c r="H96" s="103"/>
      <c r="I96" s="39">
        <v>21</v>
      </c>
      <c r="J96" s="38">
        <f>ROUND(G96*AO96,2)</f>
        <v>0</v>
      </c>
      <c r="K96" s="38">
        <f>ROUND(G96*AP96,2)</f>
        <v>0</v>
      </c>
      <c r="L96" s="38">
        <f>ROUND(G96*H96,2)</f>
        <v>0</v>
      </c>
      <c r="M96" s="38">
        <f>L96*(1+BW96/100)</f>
        <v>0</v>
      </c>
      <c r="N96" s="38">
        <v>2.6780000000000002E-2</v>
      </c>
      <c r="O96" s="38">
        <f>G96*N96</f>
        <v>0.30750135000000001</v>
      </c>
      <c r="P96" s="40" t="s">
        <v>59</v>
      </c>
      <c r="Z96" s="38">
        <f>ROUND(IF(AQ96="5",BJ96,0),2)</f>
        <v>0</v>
      </c>
      <c r="AB96" s="38">
        <f>ROUND(IF(AQ96="1",BH96,0),2)</f>
        <v>0</v>
      </c>
      <c r="AC96" s="38">
        <f>ROUND(IF(AQ96="1",BI96,0),2)</f>
        <v>0</v>
      </c>
      <c r="AD96" s="38">
        <f>ROUND(IF(AQ96="7",BH96,0),2)</f>
        <v>0</v>
      </c>
      <c r="AE96" s="38">
        <f>ROUND(IF(AQ96="7",BI96,0),2)</f>
        <v>0</v>
      </c>
      <c r="AF96" s="38">
        <f>ROUND(IF(AQ96="2",BH96,0),2)</f>
        <v>0</v>
      </c>
      <c r="AG96" s="38">
        <f>ROUND(IF(AQ96="2",BI96,0),2)</f>
        <v>0</v>
      </c>
      <c r="AH96" s="38">
        <f>ROUND(IF(AQ96="0",BJ96,0),2)</f>
        <v>0</v>
      </c>
      <c r="AI96" s="13" t="s">
        <v>51</v>
      </c>
      <c r="AJ96" s="38">
        <f>IF(AN96=0,L96,0)</f>
        <v>0</v>
      </c>
      <c r="AK96" s="38">
        <f>IF(AN96=12,L96,0)</f>
        <v>0</v>
      </c>
      <c r="AL96" s="38">
        <f>IF(AN96=21,L96,0)</f>
        <v>0</v>
      </c>
      <c r="AN96" s="38">
        <v>21</v>
      </c>
      <c r="AO96" s="38">
        <f>H96*0.849975445</f>
        <v>0</v>
      </c>
      <c r="AP96" s="38">
        <f>H96*(1-0.849975445)</f>
        <v>0</v>
      </c>
      <c r="AQ96" s="41" t="s">
        <v>55</v>
      </c>
      <c r="AV96" s="38">
        <f>ROUND(AW96+AX96,2)</f>
        <v>0</v>
      </c>
      <c r="AW96" s="38">
        <f>ROUND(G96*AO96,2)</f>
        <v>0</v>
      </c>
      <c r="AX96" s="38">
        <f>ROUND(G96*AP96,2)</f>
        <v>0</v>
      </c>
      <c r="AY96" s="41" t="s">
        <v>252</v>
      </c>
      <c r="AZ96" s="41" t="s">
        <v>238</v>
      </c>
      <c r="BA96" s="13" t="s">
        <v>62</v>
      </c>
      <c r="BC96" s="38">
        <f>AW96+AX96</f>
        <v>0</v>
      </c>
      <c r="BD96" s="38">
        <f>H96/(100-BE96)*100</f>
        <v>0</v>
      </c>
      <c r="BE96" s="38">
        <v>0</v>
      </c>
      <c r="BF96" s="38">
        <f>O96</f>
        <v>0.30750135000000001</v>
      </c>
      <c r="BH96" s="38">
        <f>G96*AO96</f>
        <v>0</v>
      </c>
      <c r="BI96" s="38">
        <f>G96*AP96</f>
        <v>0</v>
      </c>
      <c r="BJ96" s="38">
        <f>G96*H96</f>
        <v>0</v>
      </c>
      <c r="BK96" s="38"/>
      <c r="BL96" s="38">
        <v>63</v>
      </c>
      <c r="BW96" s="38">
        <f>I96</f>
        <v>21</v>
      </c>
      <c r="BX96" s="5" t="s">
        <v>256</v>
      </c>
    </row>
    <row r="97" spans="1:76" x14ac:dyDescent="0.25">
      <c r="A97" s="2" t="s">
        <v>257</v>
      </c>
      <c r="B97" s="3" t="s">
        <v>51</v>
      </c>
      <c r="C97" s="3" t="s">
        <v>218</v>
      </c>
      <c r="D97" s="113" t="s">
        <v>219</v>
      </c>
      <c r="E97" s="110"/>
      <c r="F97" s="3" t="s">
        <v>134</v>
      </c>
      <c r="G97" s="38">
        <v>0.3075</v>
      </c>
      <c r="H97" s="103"/>
      <c r="I97" s="39">
        <v>21</v>
      </c>
      <c r="J97" s="38">
        <f>ROUND(G97*AO97,2)</f>
        <v>0</v>
      </c>
      <c r="K97" s="38">
        <f>ROUND(G97*AP97,2)</f>
        <v>0</v>
      </c>
      <c r="L97" s="38">
        <f>ROUND(G97*H97,2)</f>
        <v>0</v>
      </c>
      <c r="M97" s="38">
        <f>L97*(1+BW97/100)</f>
        <v>0</v>
      </c>
      <c r="N97" s="38">
        <v>0</v>
      </c>
      <c r="O97" s="38">
        <f>G97*N97</f>
        <v>0</v>
      </c>
      <c r="P97" s="40" t="s">
        <v>59</v>
      </c>
      <c r="Z97" s="38">
        <f>ROUND(IF(AQ97="5",BJ97,0),2)</f>
        <v>0</v>
      </c>
      <c r="AB97" s="38">
        <f>ROUND(IF(AQ97="1",BH97,0),2)</f>
        <v>0</v>
      </c>
      <c r="AC97" s="38">
        <f>ROUND(IF(AQ97="1",BI97,0),2)</f>
        <v>0</v>
      </c>
      <c r="AD97" s="38">
        <f>ROUND(IF(AQ97="7",BH97,0),2)</f>
        <v>0</v>
      </c>
      <c r="AE97" s="38">
        <f>ROUND(IF(AQ97="7",BI97,0),2)</f>
        <v>0</v>
      </c>
      <c r="AF97" s="38">
        <f>ROUND(IF(AQ97="2",BH97,0),2)</f>
        <v>0</v>
      </c>
      <c r="AG97" s="38">
        <f>ROUND(IF(AQ97="2",BI97,0),2)</f>
        <v>0</v>
      </c>
      <c r="AH97" s="38">
        <f>ROUND(IF(AQ97="0",BJ97,0),2)</f>
        <v>0</v>
      </c>
      <c r="AI97" s="13" t="s">
        <v>51</v>
      </c>
      <c r="AJ97" s="38">
        <f>IF(AN97=0,L97,0)</f>
        <v>0</v>
      </c>
      <c r="AK97" s="38">
        <f>IF(AN97=12,L97,0)</f>
        <v>0</v>
      </c>
      <c r="AL97" s="38">
        <f>IF(AN97=21,L97,0)</f>
        <v>0</v>
      </c>
      <c r="AN97" s="38">
        <v>21</v>
      </c>
      <c r="AO97" s="38">
        <f>H97*0</f>
        <v>0</v>
      </c>
      <c r="AP97" s="38">
        <f>H97*(1-0)</f>
        <v>0</v>
      </c>
      <c r="AQ97" s="41" t="s">
        <v>77</v>
      </c>
      <c r="AV97" s="38">
        <f>ROUND(AW97+AX97,2)</f>
        <v>0</v>
      </c>
      <c r="AW97" s="38">
        <f>ROUND(G97*AO97,2)</f>
        <v>0</v>
      </c>
      <c r="AX97" s="38">
        <f>ROUND(G97*AP97,2)</f>
        <v>0</v>
      </c>
      <c r="AY97" s="41" t="s">
        <v>252</v>
      </c>
      <c r="AZ97" s="41" t="s">
        <v>238</v>
      </c>
      <c r="BA97" s="13" t="s">
        <v>62</v>
      </c>
      <c r="BC97" s="38">
        <f>AW97+AX97</f>
        <v>0</v>
      </c>
      <c r="BD97" s="38">
        <f>H97/(100-BE97)*100</f>
        <v>0</v>
      </c>
      <c r="BE97" s="38">
        <v>0</v>
      </c>
      <c r="BF97" s="38">
        <f>O97</f>
        <v>0</v>
      </c>
      <c r="BH97" s="38">
        <f>G97*AO97</f>
        <v>0</v>
      </c>
      <c r="BI97" s="38">
        <f>G97*AP97</f>
        <v>0</v>
      </c>
      <c r="BJ97" s="38">
        <f>G97*H97</f>
        <v>0</v>
      </c>
      <c r="BK97" s="38"/>
      <c r="BL97" s="38">
        <v>63</v>
      </c>
      <c r="BW97" s="38">
        <f>I97</f>
        <v>21</v>
      </c>
      <c r="BX97" s="5" t="s">
        <v>219</v>
      </c>
    </row>
    <row r="98" spans="1:76" x14ac:dyDescent="0.25">
      <c r="A98" s="33" t="s">
        <v>50</v>
      </c>
      <c r="B98" s="34" t="s">
        <v>51</v>
      </c>
      <c r="C98" s="34" t="s">
        <v>258</v>
      </c>
      <c r="D98" s="191" t="s">
        <v>259</v>
      </c>
      <c r="E98" s="192"/>
      <c r="F98" s="36" t="s">
        <v>4</v>
      </c>
      <c r="G98" s="36" t="s">
        <v>4</v>
      </c>
      <c r="H98" s="36" t="s">
        <v>4</v>
      </c>
      <c r="I98" s="36" t="s">
        <v>4</v>
      </c>
      <c r="J98" s="1">
        <f>SUM(J99:J104)</f>
        <v>0</v>
      </c>
      <c r="K98" s="1">
        <f>SUM(K99:K104)</f>
        <v>0</v>
      </c>
      <c r="L98" s="1">
        <f>SUM(L99:L104)</f>
        <v>0</v>
      </c>
      <c r="M98" s="1">
        <f>SUM(M99:M104)</f>
        <v>0</v>
      </c>
      <c r="N98" s="13" t="s">
        <v>50</v>
      </c>
      <c r="O98" s="1">
        <f>SUM(O99:O104)</f>
        <v>7.8581150000000002E-2</v>
      </c>
      <c r="P98" s="37" t="s">
        <v>50</v>
      </c>
      <c r="AI98" s="13" t="s">
        <v>51</v>
      </c>
      <c r="AS98" s="1">
        <f>SUM(AJ99:AJ104)</f>
        <v>0</v>
      </c>
      <c r="AT98" s="1">
        <f>SUM(AK99:AK104)</f>
        <v>0</v>
      </c>
      <c r="AU98" s="1">
        <f>SUM(AL99:AL104)</f>
        <v>0</v>
      </c>
    </row>
    <row r="99" spans="1:76" x14ac:dyDescent="0.25">
      <c r="A99" s="2" t="s">
        <v>260</v>
      </c>
      <c r="B99" s="3" t="s">
        <v>51</v>
      </c>
      <c r="C99" s="3" t="s">
        <v>261</v>
      </c>
      <c r="D99" s="113" t="s">
        <v>262</v>
      </c>
      <c r="E99" s="110"/>
      <c r="F99" s="3" t="s">
        <v>58</v>
      </c>
      <c r="G99" s="38">
        <v>21.7075</v>
      </c>
      <c r="H99" s="103"/>
      <c r="I99" s="39">
        <v>21</v>
      </c>
      <c r="J99" s="38">
        <f>ROUND(G99*AO99,2)</f>
        <v>0</v>
      </c>
      <c r="K99" s="38">
        <f>ROUND(G99*AP99,2)</f>
        <v>0</v>
      </c>
      <c r="L99" s="38">
        <f>ROUND(G99*H99,2)</f>
        <v>0</v>
      </c>
      <c r="M99" s="38">
        <f>L99*(1+BW99/100)</f>
        <v>0</v>
      </c>
      <c r="N99" s="38">
        <v>2.2000000000000001E-4</v>
      </c>
      <c r="O99" s="38">
        <f>G99*N99</f>
        <v>4.7756500000000002E-3</v>
      </c>
      <c r="P99" s="40" t="s">
        <v>114</v>
      </c>
      <c r="Z99" s="38">
        <f>ROUND(IF(AQ99="5",BJ99,0),2)</f>
        <v>0</v>
      </c>
      <c r="AB99" s="38">
        <f>ROUND(IF(AQ99="1",BH99,0),2)</f>
        <v>0</v>
      </c>
      <c r="AC99" s="38">
        <f>ROUND(IF(AQ99="1",BI99,0),2)</f>
        <v>0</v>
      </c>
      <c r="AD99" s="38">
        <f>ROUND(IF(AQ99="7",BH99,0),2)</f>
        <v>0</v>
      </c>
      <c r="AE99" s="38">
        <f>ROUND(IF(AQ99="7",BI99,0),2)</f>
        <v>0</v>
      </c>
      <c r="AF99" s="38">
        <f>ROUND(IF(AQ99="2",BH99,0),2)</f>
        <v>0</v>
      </c>
      <c r="AG99" s="38">
        <f>ROUND(IF(AQ99="2",BI99,0),2)</f>
        <v>0</v>
      </c>
      <c r="AH99" s="38">
        <f>ROUND(IF(AQ99="0",BJ99,0),2)</f>
        <v>0</v>
      </c>
      <c r="AI99" s="13" t="s">
        <v>51</v>
      </c>
      <c r="AJ99" s="38">
        <f>IF(AN99=0,L99,0)</f>
        <v>0</v>
      </c>
      <c r="AK99" s="38">
        <f>IF(AN99=12,L99,0)</f>
        <v>0</v>
      </c>
      <c r="AL99" s="38">
        <f>IF(AN99=21,L99,0)</f>
        <v>0</v>
      </c>
      <c r="AN99" s="38">
        <v>21</v>
      </c>
      <c r="AO99" s="38">
        <f>H99*0.424635367</f>
        <v>0</v>
      </c>
      <c r="AP99" s="38">
        <f>H99*(1-0.424635367)</f>
        <v>0</v>
      </c>
      <c r="AQ99" s="41" t="s">
        <v>84</v>
      </c>
      <c r="AV99" s="38">
        <f>ROUND(AW99+AX99,2)</f>
        <v>0</v>
      </c>
      <c r="AW99" s="38">
        <f>ROUND(G99*AO99,2)</f>
        <v>0</v>
      </c>
      <c r="AX99" s="38">
        <f>ROUND(G99*AP99,2)</f>
        <v>0</v>
      </c>
      <c r="AY99" s="41" t="s">
        <v>263</v>
      </c>
      <c r="AZ99" s="41" t="s">
        <v>264</v>
      </c>
      <c r="BA99" s="13" t="s">
        <v>62</v>
      </c>
      <c r="BC99" s="38">
        <f>AW99+AX99</f>
        <v>0</v>
      </c>
      <c r="BD99" s="38">
        <f>H99/(100-BE99)*100</f>
        <v>0</v>
      </c>
      <c r="BE99" s="38">
        <v>0</v>
      </c>
      <c r="BF99" s="38">
        <f>O99</f>
        <v>4.7756500000000002E-3</v>
      </c>
      <c r="BH99" s="38">
        <f>G99*AO99</f>
        <v>0</v>
      </c>
      <c r="BI99" s="38">
        <f>G99*AP99</f>
        <v>0</v>
      </c>
      <c r="BJ99" s="38">
        <f>G99*H99</f>
        <v>0</v>
      </c>
      <c r="BK99" s="38"/>
      <c r="BL99" s="38">
        <v>711</v>
      </c>
      <c r="BW99" s="38">
        <f>I99</f>
        <v>21</v>
      </c>
      <c r="BX99" s="5" t="s">
        <v>262</v>
      </c>
    </row>
    <row r="100" spans="1:76" ht="13.5" customHeight="1" x14ac:dyDescent="0.25">
      <c r="A100" s="42"/>
      <c r="C100" s="43" t="s">
        <v>87</v>
      </c>
      <c r="D100" s="179" t="s">
        <v>265</v>
      </c>
      <c r="E100" s="180"/>
      <c r="F100" s="180"/>
      <c r="G100" s="180"/>
      <c r="H100" s="180"/>
      <c r="I100" s="180"/>
      <c r="J100" s="180"/>
      <c r="K100" s="180"/>
      <c r="L100" s="180"/>
      <c r="M100" s="180"/>
      <c r="N100" s="180"/>
      <c r="O100" s="180"/>
      <c r="P100" s="181"/>
    </row>
    <row r="101" spans="1:76" x14ac:dyDescent="0.25">
      <c r="A101" s="2" t="s">
        <v>266</v>
      </c>
      <c r="B101" s="3" t="s">
        <v>51</v>
      </c>
      <c r="C101" s="3" t="s">
        <v>267</v>
      </c>
      <c r="D101" s="113" t="s">
        <v>268</v>
      </c>
      <c r="E101" s="110"/>
      <c r="F101" s="3" t="s">
        <v>58</v>
      </c>
      <c r="G101" s="38">
        <v>21.7075</v>
      </c>
      <c r="H101" s="103"/>
      <c r="I101" s="39">
        <v>21</v>
      </c>
      <c r="J101" s="38">
        <f>ROUND(G101*AO101,2)</f>
        <v>0</v>
      </c>
      <c r="K101" s="38">
        <f>ROUND(G101*AP101,2)</f>
        <v>0</v>
      </c>
      <c r="L101" s="38">
        <f>ROUND(G101*H101,2)</f>
        <v>0</v>
      </c>
      <c r="M101" s="38">
        <f>L101*(1+BW101/100)</f>
        <v>0</v>
      </c>
      <c r="N101" s="38">
        <v>3.3999999999999998E-3</v>
      </c>
      <c r="O101" s="38">
        <f>G101*N101</f>
        <v>7.3805499999999996E-2</v>
      </c>
      <c r="P101" s="40" t="s">
        <v>59</v>
      </c>
      <c r="Z101" s="38">
        <f>ROUND(IF(AQ101="5",BJ101,0),2)</f>
        <v>0</v>
      </c>
      <c r="AB101" s="38">
        <f>ROUND(IF(AQ101="1",BH101,0),2)</f>
        <v>0</v>
      </c>
      <c r="AC101" s="38">
        <f>ROUND(IF(AQ101="1",BI101,0),2)</f>
        <v>0</v>
      </c>
      <c r="AD101" s="38">
        <f>ROUND(IF(AQ101="7",BH101,0),2)</f>
        <v>0</v>
      </c>
      <c r="AE101" s="38">
        <f>ROUND(IF(AQ101="7",BI101,0),2)</f>
        <v>0</v>
      </c>
      <c r="AF101" s="38">
        <f>ROUND(IF(AQ101="2",BH101,0),2)</f>
        <v>0</v>
      </c>
      <c r="AG101" s="38">
        <f>ROUND(IF(AQ101="2",BI101,0),2)</f>
        <v>0</v>
      </c>
      <c r="AH101" s="38">
        <f>ROUND(IF(AQ101="0",BJ101,0),2)</f>
        <v>0</v>
      </c>
      <c r="AI101" s="13" t="s">
        <v>51</v>
      </c>
      <c r="AJ101" s="38">
        <f>IF(AN101=0,L101,0)</f>
        <v>0</v>
      </c>
      <c r="AK101" s="38">
        <f>IF(AN101=12,L101,0)</f>
        <v>0</v>
      </c>
      <c r="AL101" s="38">
        <f>IF(AN101=21,L101,0)</f>
        <v>0</v>
      </c>
      <c r="AN101" s="38">
        <v>21</v>
      </c>
      <c r="AO101" s="38">
        <f>H101*0.637914527</f>
        <v>0</v>
      </c>
      <c r="AP101" s="38">
        <f>H101*(1-0.637914527)</f>
        <v>0</v>
      </c>
      <c r="AQ101" s="41" t="s">
        <v>84</v>
      </c>
      <c r="AV101" s="38">
        <f>ROUND(AW101+AX101,2)</f>
        <v>0</v>
      </c>
      <c r="AW101" s="38">
        <f>ROUND(G101*AO101,2)</f>
        <v>0</v>
      </c>
      <c r="AX101" s="38">
        <f>ROUND(G101*AP101,2)</f>
        <v>0</v>
      </c>
      <c r="AY101" s="41" t="s">
        <v>263</v>
      </c>
      <c r="AZ101" s="41" t="s">
        <v>264</v>
      </c>
      <c r="BA101" s="13" t="s">
        <v>62</v>
      </c>
      <c r="BC101" s="38">
        <f>AW101+AX101</f>
        <v>0</v>
      </c>
      <c r="BD101" s="38">
        <f>H101/(100-BE101)*100</f>
        <v>0</v>
      </c>
      <c r="BE101" s="38">
        <v>0</v>
      </c>
      <c r="BF101" s="38">
        <f>O101</f>
        <v>7.3805499999999996E-2</v>
      </c>
      <c r="BH101" s="38">
        <f>G101*AO101</f>
        <v>0</v>
      </c>
      <c r="BI101" s="38">
        <f>G101*AP101</f>
        <v>0</v>
      </c>
      <c r="BJ101" s="38">
        <f>G101*H101</f>
        <v>0</v>
      </c>
      <c r="BK101" s="38"/>
      <c r="BL101" s="38">
        <v>711</v>
      </c>
      <c r="BW101" s="38">
        <f>I101</f>
        <v>21</v>
      </c>
      <c r="BX101" s="5" t="s">
        <v>268</v>
      </c>
    </row>
    <row r="102" spans="1:76" ht="13.5" customHeight="1" x14ac:dyDescent="0.25">
      <c r="A102" s="42"/>
      <c r="C102" s="43" t="s">
        <v>87</v>
      </c>
      <c r="D102" s="179" t="s">
        <v>269</v>
      </c>
      <c r="E102" s="180"/>
      <c r="F102" s="180"/>
      <c r="G102" s="180"/>
      <c r="H102" s="180"/>
      <c r="I102" s="180"/>
      <c r="J102" s="180"/>
      <c r="K102" s="180"/>
      <c r="L102" s="180"/>
      <c r="M102" s="180"/>
      <c r="N102" s="180"/>
      <c r="O102" s="180"/>
      <c r="P102" s="181"/>
    </row>
    <row r="103" spans="1:76" ht="63.75" x14ac:dyDescent="0.25">
      <c r="A103" s="42"/>
      <c r="C103" s="43" t="s">
        <v>67</v>
      </c>
      <c r="D103" s="179" t="s">
        <v>270</v>
      </c>
      <c r="E103" s="180"/>
      <c r="F103" s="180"/>
      <c r="G103" s="180"/>
      <c r="H103" s="180"/>
      <c r="I103" s="180"/>
      <c r="J103" s="180"/>
      <c r="K103" s="180"/>
      <c r="L103" s="180"/>
      <c r="M103" s="180"/>
      <c r="N103" s="180"/>
      <c r="O103" s="180"/>
      <c r="P103" s="181"/>
      <c r="BX103" s="44" t="s">
        <v>270</v>
      </c>
    </row>
    <row r="104" spans="1:76" x14ac:dyDescent="0.25">
      <c r="A104" s="2" t="s">
        <v>271</v>
      </c>
      <c r="B104" s="3" t="s">
        <v>51</v>
      </c>
      <c r="C104" s="3" t="s">
        <v>272</v>
      </c>
      <c r="D104" s="113" t="s">
        <v>273</v>
      </c>
      <c r="E104" s="110"/>
      <c r="F104" s="3" t="s">
        <v>134</v>
      </c>
      <c r="G104" s="38">
        <v>7.8579999999999997E-2</v>
      </c>
      <c r="H104" s="103"/>
      <c r="I104" s="39">
        <v>21</v>
      </c>
      <c r="J104" s="38">
        <f>ROUND(G104*AO104,2)</f>
        <v>0</v>
      </c>
      <c r="K104" s="38">
        <f>ROUND(G104*AP104,2)</f>
        <v>0</v>
      </c>
      <c r="L104" s="38">
        <f>ROUND(G104*H104,2)</f>
        <v>0</v>
      </c>
      <c r="M104" s="38">
        <f>L104*(1+BW104/100)</f>
        <v>0</v>
      </c>
      <c r="N104" s="38">
        <v>0</v>
      </c>
      <c r="O104" s="38">
        <f>G104*N104</f>
        <v>0</v>
      </c>
      <c r="P104" s="40" t="s">
        <v>59</v>
      </c>
      <c r="Z104" s="38">
        <f>ROUND(IF(AQ104="5",BJ104,0),2)</f>
        <v>0</v>
      </c>
      <c r="AB104" s="38">
        <f>ROUND(IF(AQ104="1",BH104,0),2)</f>
        <v>0</v>
      </c>
      <c r="AC104" s="38">
        <f>ROUND(IF(AQ104="1",BI104,0),2)</f>
        <v>0</v>
      </c>
      <c r="AD104" s="38">
        <f>ROUND(IF(AQ104="7",BH104,0),2)</f>
        <v>0</v>
      </c>
      <c r="AE104" s="38">
        <f>ROUND(IF(AQ104="7",BI104,0),2)</f>
        <v>0</v>
      </c>
      <c r="AF104" s="38">
        <f>ROUND(IF(AQ104="2",BH104,0),2)</f>
        <v>0</v>
      </c>
      <c r="AG104" s="38">
        <f>ROUND(IF(AQ104="2",BI104,0),2)</f>
        <v>0</v>
      </c>
      <c r="AH104" s="38">
        <f>ROUND(IF(AQ104="0",BJ104,0),2)</f>
        <v>0</v>
      </c>
      <c r="AI104" s="13" t="s">
        <v>51</v>
      </c>
      <c r="AJ104" s="38">
        <f>IF(AN104=0,L104,0)</f>
        <v>0</v>
      </c>
      <c r="AK104" s="38">
        <f>IF(AN104=12,L104,0)</f>
        <v>0</v>
      </c>
      <c r="AL104" s="38">
        <f>IF(AN104=21,L104,0)</f>
        <v>0</v>
      </c>
      <c r="AN104" s="38">
        <v>21</v>
      </c>
      <c r="AO104" s="38">
        <f>H104*0</f>
        <v>0</v>
      </c>
      <c r="AP104" s="38">
        <f>H104*(1-0)</f>
        <v>0</v>
      </c>
      <c r="AQ104" s="41" t="s">
        <v>77</v>
      </c>
      <c r="AV104" s="38">
        <f>ROUND(AW104+AX104,2)</f>
        <v>0</v>
      </c>
      <c r="AW104" s="38">
        <f>ROUND(G104*AO104,2)</f>
        <v>0</v>
      </c>
      <c r="AX104" s="38">
        <f>ROUND(G104*AP104,2)</f>
        <v>0</v>
      </c>
      <c r="AY104" s="41" t="s">
        <v>263</v>
      </c>
      <c r="AZ104" s="41" t="s">
        <v>264</v>
      </c>
      <c r="BA104" s="13" t="s">
        <v>62</v>
      </c>
      <c r="BC104" s="38">
        <f>AW104+AX104</f>
        <v>0</v>
      </c>
      <c r="BD104" s="38">
        <f>H104/(100-BE104)*100</f>
        <v>0</v>
      </c>
      <c r="BE104" s="38">
        <v>0</v>
      </c>
      <c r="BF104" s="38">
        <f>O104</f>
        <v>0</v>
      </c>
      <c r="BH104" s="38">
        <f>G104*AO104</f>
        <v>0</v>
      </c>
      <c r="BI104" s="38">
        <f>G104*AP104</f>
        <v>0</v>
      </c>
      <c r="BJ104" s="38">
        <f>G104*H104</f>
        <v>0</v>
      </c>
      <c r="BK104" s="38"/>
      <c r="BL104" s="38">
        <v>711</v>
      </c>
      <c r="BW104" s="38">
        <f>I104</f>
        <v>21</v>
      </c>
      <c r="BX104" s="5" t="s">
        <v>273</v>
      </c>
    </row>
    <row r="105" spans="1:76" x14ac:dyDescent="0.25">
      <c r="A105" s="33" t="s">
        <v>50</v>
      </c>
      <c r="B105" s="34" t="s">
        <v>51</v>
      </c>
      <c r="C105" s="34" t="s">
        <v>274</v>
      </c>
      <c r="D105" s="191" t="s">
        <v>275</v>
      </c>
      <c r="E105" s="192"/>
      <c r="F105" s="36" t="s">
        <v>4</v>
      </c>
      <c r="G105" s="36" t="s">
        <v>4</v>
      </c>
      <c r="H105" s="36" t="s">
        <v>4</v>
      </c>
      <c r="I105" s="36" t="s">
        <v>4</v>
      </c>
      <c r="J105" s="1">
        <f>SUM(J106:J116)</f>
        <v>0</v>
      </c>
      <c r="K105" s="1">
        <f>SUM(K106:K116)</f>
        <v>0</v>
      </c>
      <c r="L105" s="1">
        <f>SUM(L106:L116)</f>
        <v>0</v>
      </c>
      <c r="M105" s="1">
        <f>SUM(M106:M116)</f>
        <v>0</v>
      </c>
      <c r="N105" s="13" t="s">
        <v>50</v>
      </c>
      <c r="O105" s="1">
        <f>SUM(O106:O116)</f>
        <v>7.7299999999999999E-3</v>
      </c>
      <c r="P105" s="37" t="s">
        <v>50</v>
      </c>
      <c r="AI105" s="13" t="s">
        <v>51</v>
      </c>
      <c r="AS105" s="1">
        <f>SUM(AJ106:AJ116)</f>
        <v>0</v>
      </c>
      <c r="AT105" s="1">
        <f>SUM(AK106:AK116)</f>
        <v>0</v>
      </c>
      <c r="AU105" s="1">
        <f>SUM(AL106:AL116)</f>
        <v>0</v>
      </c>
    </row>
    <row r="106" spans="1:76" x14ac:dyDescent="0.25">
      <c r="A106" s="2" t="s">
        <v>276</v>
      </c>
      <c r="B106" s="3" t="s">
        <v>51</v>
      </c>
      <c r="C106" s="3" t="s">
        <v>277</v>
      </c>
      <c r="D106" s="113" t="s">
        <v>278</v>
      </c>
      <c r="E106" s="110"/>
      <c r="F106" s="3" t="s">
        <v>100</v>
      </c>
      <c r="G106" s="38">
        <v>3</v>
      </c>
      <c r="H106" s="103"/>
      <c r="I106" s="39">
        <v>21</v>
      </c>
      <c r="J106" s="38">
        <f t="shared" ref="J106:J112" si="28">ROUND(G106*AO106,2)</f>
        <v>0</v>
      </c>
      <c r="K106" s="38">
        <f t="shared" ref="K106:K112" si="29">ROUND(G106*AP106,2)</f>
        <v>0</v>
      </c>
      <c r="L106" s="38">
        <f t="shared" ref="L106:L112" si="30">ROUND(G106*H106,2)</f>
        <v>0</v>
      </c>
      <c r="M106" s="38">
        <f t="shared" ref="M106:M112" si="31">L106*(1+BW106/100)</f>
        <v>0</v>
      </c>
      <c r="N106" s="38">
        <v>4.6999999999999999E-4</v>
      </c>
      <c r="O106" s="38">
        <f t="shared" ref="O106:O112" si="32">G106*N106</f>
        <v>1.41E-3</v>
      </c>
      <c r="P106" s="40" t="s">
        <v>59</v>
      </c>
      <c r="Z106" s="38">
        <f t="shared" ref="Z106:Z112" si="33">ROUND(IF(AQ106="5",BJ106,0),2)</f>
        <v>0</v>
      </c>
      <c r="AB106" s="38">
        <f t="shared" ref="AB106:AB112" si="34">ROUND(IF(AQ106="1",BH106,0),2)</f>
        <v>0</v>
      </c>
      <c r="AC106" s="38">
        <f t="shared" ref="AC106:AC112" si="35">ROUND(IF(AQ106="1",BI106,0),2)</f>
        <v>0</v>
      </c>
      <c r="AD106" s="38">
        <f t="shared" ref="AD106:AD112" si="36">ROUND(IF(AQ106="7",BH106,0),2)</f>
        <v>0</v>
      </c>
      <c r="AE106" s="38">
        <f t="shared" ref="AE106:AE112" si="37">ROUND(IF(AQ106="7",BI106,0),2)</f>
        <v>0</v>
      </c>
      <c r="AF106" s="38">
        <f t="shared" ref="AF106:AF112" si="38">ROUND(IF(AQ106="2",BH106,0),2)</f>
        <v>0</v>
      </c>
      <c r="AG106" s="38">
        <f t="shared" ref="AG106:AG112" si="39">ROUND(IF(AQ106="2",BI106,0),2)</f>
        <v>0</v>
      </c>
      <c r="AH106" s="38">
        <f t="shared" ref="AH106:AH112" si="40">ROUND(IF(AQ106="0",BJ106,0),2)</f>
        <v>0</v>
      </c>
      <c r="AI106" s="13" t="s">
        <v>51</v>
      </c>
      <c r="AJ106" s="38">
        <f t="shared" ref="AJ106:AJ112" si="41">IF(AN106=0,L106,0)</f>
        <v>0</v>
      </c>
      <c r="AK106" s="38">
        <f t="shared" ref="AK106:AK112" si="42">IF(AN106=12,L106,0)</f>
        <v>0</v>
      </c>
      <c r="AL106" s="38">
        <f t="shared" ref="AL106:AL112" si="43">IF(AN106=21,L106,0)</f>
        <v>0</v>
      </c>
      <c r="AN106" s="38">
        <v>21</v>
      </c>
      <c r="AO106" s="38">
        <f>H106*0.288317757</f>
        <v>0</v>
      </c>
      <c r="AP106" s="38">
        <f>H106*(1-0.288317757)</f>
        <v>0</v>
      </c>
      <c r="AQ106" s="41" t="s">
        <v>84</v>
      </c>
      <c r="AV106" s="38">
        <f t="shared" ref="AV106:AV112" si="44">ROUND(AW106+AX106,2)</f>
        <v>0</v>
      </c>
      <c r="AW106" s="38">
        <f t="shared" ref="AW106:AW112" si="45">ROUND(G106*AO106,2)</f>
        <v>0</v>
      </c>
      <c r="AX106" s="38">
        <f t="shared" ref="AX106:AX112" si="46">ROUND(G106*AP106,2)</f>
        <v>0</v>
      </c>
      <c r="AY106" s="41" t="s">
        <v>279</v>
      </c>
      <c r="AZ106" s="41" t="s">
        <v>280</v>
      </c>
      <c r="BA106" s="13" t="s">
        <v>62</v>
      </c>
      <c r="BC106" s="38">
        <f t="shared" ref="BC106:BC112" si="47">AW106+AX106</f>
        <v>0</v>
      </c>
      <c r="BD106" s="38">
        <f t="shared" ref="BD106:BD112" si="48">H106/(100-BE106)*100</f>
        <v>0</v>
      </c>
      <c r="BE106" s="38">
        <v>0</v>
      </c>
      <c r="BF106" s="38">
        <f t="shared" ref="BF106:BF112" si="49">O106</f>
        <v>1.41E-3</v>
      </c>
      <c r="BH106" s="38">
        <f t="shared" ref="BH106:BH112" si="50">G106*AO106</f>
        <v>0</v>
      </c>
      <c r="BI106" s="38">
        <f t="shared" ref="BI106:BI112" si="51">G106*AP106</f>
        <v>0</v>
      </c>
      <c r="BJ106" s="38">
        <f t="shared" ref="BJ106:BJ112" si="52">G106*H106</f>
        <v>0</v>
      </c>
      <c r="BK106" s="38"/>
      <c r="BL106" s="38">
        <v>721</v>
      </c>
      <c r="BW106" s="38">
        <f t="shared" ref="BW106:BW112" si="53">I106</f>
        <v>21</v>
      </c>
      <c r="BX106" s="5" t="s">
        <v>278</v>
      </c>
    </row>
    <row r="107" spans="1:76" x14ac:dyDescent="0.25">
      <c r="A107" s="2" t="s">
        <v>281</v>
      </c>
      <c r="B107" s="3" t="s">
        <v>51</v>
      </c>
      <c r="C107" s="3" t="s">
        <v>282</v>
      </c>
      <c r="D107" s="113" t="s">
        <v>283</v>
      </c>
      <c r="E107" s="110"/>
      <c r="F107" s="3" t="s">
        <v>100</v>
      </c>
      <c r="G107" s="38">
        <v>7</v>
      </c>
      <c r="H107" s="103"/>
      <c r="I107" s="39">
        <v>21</v>
      </c>
      <c r="J107" s="38">
        <f t="shared" si="28"/>
        <v>0</v>
      </c>
      <c r="K107" s="38">
        <f t="shared" si="29"/>
        <v>0</v>
      </c>
      <c r="L107" s="38">
        <f t="shared" si="30"/>
        <v>0</v>
      </c>
      <c r="M107" s="38">
        <f t="shared" si="31"/>
        <v>0</v>
      </c>
      <c r="N107" s="38">
        <v>3.8000000000000002E-4</v>
      </c>
      <c r="O107" s="38">
        <f t="shared" si="32"/>
        <v>2.66E-3</v>
      </c>
      <c r="P107" s="40" t="s">
        <v>59</v>
      </c>
      <c r="Z107" s="38">
        <f t="shared" si="33"/>
        <v>0</v>
      </c>
      <c r="AB107" s="38">
        <f t="shared" si="34"/>
        <v>0</v>
      </c>
      <c r="AC107" s="38">
        <f t="shared" si="35"/>
        <v>0</v>
      </c>
      <c r="AD107" s="38">
        <f t="shared" si="36"/>
        <v>0</v>
      </c>
      <c r="AE107" s="38">
        <f t="shared" si="37"/>
        <v>0</v>
      </c>
      <c r="AF107" s="38">
        <f t="shared" si="38"/>
        <v>0</v>
      </c>
      <c r="AG107" s="38">
        <f t="shared" si="39"/>
        <v>0</v>
      </c>
      <c r="AH107" s="38">
        <f t="shared" si="40"/>
        <v>0</v>
      </c>
      <c r="AI107" s="13" t="s">
        <v>51</v>
      </c>
      <c r="AJ107" s="38">
        <f t="shared" si="41"/>
        <v>0</v>
      </c>
      <c r="AK107" s="38">
        <f t="shared" si="42"/>
        <v>0</v>
      </c>
      <c r="AL107" s="38">
        <f t="shared" si="43"/>
        <v>0</v>
      </c>
      <c r="AN107" s="38">
        <v>21</v>
      </c>
      <c r="AO107" s="38">
        <f>H107*0.278442478</f>
        <v>0</v>
      </c>
      <c r="AP107" s="38">
        <f>H107*(1-0.278442478)</f>
        <v>0</v>
      </c>
      <c r="AQ107" s="41" t="s">
        <v>84</v>
      </c>
      <c r="AV107" s="38">
        <f t="shared" si="44"/>
        <v>0</v>
      </c>
      <c r="AW107" s="38">
        <f t="shared" si="45"/>
        <v>0</v>
      </c>
      <c r="AX107" s="38">
        <f t="shared" si="46"/>
        <v>0</v>
      </c>
      <c r="AY107" s="41" t="s">
        <v>279</v>
      </c>
      <c r="AZ107" s="41" t="s">
        <v>280</v>
      </c>
      <c r="BA107" s="13" t="s">
        <v>62</v>
      </c>
      <c r="BC107" s="38">
        <f t="shared" si="47"/>
        <v>0</v>
      </c>
      <c r="BD107" s="38">
        <f t="shared" si="48"/>
        <v>0</v>
      </c>
      <c r="BE107" s="38">
        <v>0</v>
      </c>
      <c r="BF107" s="38">
        <f t="shared" si="49"/>
        <v>2.66E-3</v>
      </c>
      <c r="BH107" s="38">
        <f t="shared" si="50"/>
        <v>0</v>
      </c>
      <c r="BI107" s="38">
        <f t="shared" si="51"/>
        <v>0</v>
      </c>
      <c r="BJ107" s="38">
        <f t="shared" si="52"/>
        <v>0</v>
      </c>
      <c r="BK107" s="38"/>
      <c r="BL107" s="38">
        <v>721</v>
      </c>
      <c r="BW107" s="38">
        <f t="shared" si="53"/>
        <v>21</v>
      </c>
      <c r="BX107" s="5" t="s">
        <v>283</v>
      </c>
    </row>
    <row r="108" spans="1:76" x14ac:dyDescent="0.25">
      <c r="A108" s="2" t="s">
        <v>284</v>
      </c>
      <c r="B108" s="3" t="s">
        <v>51</v>
      </c>
      <c r="C108" s="3" t="s">
        <v>285</v>
      </c>
      <c r="D108" s="113" t="s">
        <v>286</v>
      </c>
      <c r="E108" s="110"/>
      <c r="F108" s="3" t="s">
        <v>100</v>
      </c>
      <c r="G108" s="38">
        <v>2</v>
      </c>
      <c r="H108" s="103"/>
      <c r="I108" s="39">
        <v>21</v>
      </c>
      <c r="J108" s="38">
        <f t="shared" si="28"/>
        <v>0</v>
      </c>
      <c r="K108" s="38">
        <f t="shared" si="29"/>
        <v>0</v>
      </c>
      <c r="L108" s="38">
        <f t="shared" si="30"/>
        <v>0</v>
      </c>
      <c r="M108" s="38">
        <f t="shared" si="31"/>
        <v>0</v>
      </c>
      <c r="N108" s="38">
        <v>1.5200000000000001E-3</v>
      </c>
      <c r="O108" s="38">
        <f t="shared" si="32"/>
        <v>3.0400000000000002E-3</v>
      </c>
      <c r="P108" s="40" t="s">
        <v>59</v>
      </c>
      <c r="Z108" s="38">
        <f t="shared" si="33"/>
        <v>0</v>
      </c>
      <c r="AB108" s="38">
        <f t="shared" si="34"/>
        <v>0</v>
      </c>
      <c r="AC108" s="38">
        <f t="shared" si="35"/>
        <v>0</v>
      </c>
      <c r="AD108" s="38">
        <f t="shared" si="36"/>
        <v>0</v>
      </c>
      <c r="AE108" s="38">
        <f t="shared" si="37"/>
        <v>0</v>
      </c>
      <c r="AF108" s="38">
        <f t="shared" si="38"/>
        <v>0</v>
      </c>
      <c r="AG108" s="38">
        <f t="shared" si="39"/>
        <v>0</v>
      </c>
      <c r="AH108" s="38">
        <f t="shared" si="40"/>
        <v>0</v>
      </c>
      <c r="AI108" s="13" t="s">
        <v>51</v>
      </c>
      <c r="AJ108" s="38">
        <f t="shared" si="41"/>
        <v>0</v>
      </c>
      <c r="AK108" s="38">
        <f t="shared" si="42"/>
        <v>0</v>
      </c>
      <c r="AL108" s="38">
        <f t="shared" si="43"/>
        <v>0</v>
      </c>
      <c r="AN108" s="38">
        <v>21</v>
      </c>
      <c r="AO108" s="38">
        <f>H108*0.262895257</f>
        <v>0</v>
      </c>
      <c r="AP108" s="38">
        <f>H108*(1-0.262895257)</f>
        <v>0</v>
      </c>
      <c r="AQ108" s="41" t="s">
        <v>84</v>
      </c>
      <c r="AV108" s="38">
        <f t="shared" si="44"/>
        <v>0</v>
      </c>
      <c r="AW108" s="38">
        <f t="shared" si="45"/>
        <v>0</v>
      </c>
      <c r="AX108" s="38">
        <f t="shared" si="46"/>
        <v>0</v>
      </c>
      <c r="AY108" s="41" t="s">
        <v>279</v>
      </c>
      <c r="AZ108" s="41" t="s">
        <v>280</v>
      </c>
      <c r="BA108" s="13" t="s">
        <v>62</v>
      </c>
      <c r="BC108" s="38">
        <f t="shared" si="47"/>
        <v>0</v>
      </c>
      <c r="BD108" s="38">
        <f t="shared" si="48"/>
        <v>0</v>
      </c>
      <c r="BE108" s="38">
        <v>0</v>
      </c>
      <c r="BF108" s="38">
        <f t="shared" si="49"/>
        <v>3.0400000000000002E-3</v>
      </c>
      <c r="BH108" s="38">
        <f t="shared" si="50"/>
        <v>0</v>
      </c>
      <c r="BI108" s="38">
        <f t="shared" si="51"/>
        <v>0</v>
      </c>
      <c r="BJ108" s="38">
        <f t="shared" si="52"/>
        <v>0</v>
      </c>
      <c r="BK108" s="38"/>
      <c r="BL108" s="38">
        <v>721</v>
      </c>
      <c r="BW108" s="38">
        <f t="shared" si="53"/>
        <v>21</v>
      </c>
      <c r="BX108" s="5" t="s">
        <v>286</v>
      </c>
    </row>
    <row r="109" spans="1:76" x14ac:dyDescent="0.25">
      <c r="A109" s="2" t="s">
        <v>287</v>
      </c>
      <c r="B109" s="3" t="s">
        <v>51</v>
      </c>
      <c r="C109" s="3" t="s">
        <v>288</v>
      </c>
      <c r="D109" s="113" t="s">
        <v>289</v>
      </c>
      <c r="E109" s="110"/>
      <c r="F109" s="3" t="s">
        <v>66</v>
      </c>
      <c r="G109" s="38">
        <v>2</v>
      </c>
      <c r="H109" s="103"/>
      <c r="I109" s="39">
        <v>21</v>
      </c>
      <c r="J109" s="38">
        <f t="shared" si="28"/>
        <v>0</v>
      </c>
      <c r="K109" s="38">
        <f t="shared" si="29"/>
        <v>0</v>
      </c>
      <c r="L109" s="38">
        <f t="shared" si="30"/>
        <v>0</v>
      </c>
      <c r="M109" s="38">
        <f t="shared" si="31"/>
        <v>0</v>
      </c>
      <c r="N109" s="38">
        <v>0</v>
      </c>
      <c r="O109" s="38">
        <f t="shared" si="32"/>
        <v>0</v>
      </c>
      <c r="P109" s="40" t="s">
        <v>59</v>
      </c>
      <c r="Z109" s="38">
        <f t="shared" si="33"/>
        <v>0</v>
      </c>
      <c r="AB109" s="38">
        <f t="shared" si="34"/>
        <v>0</v>
      </c>
      <c r="AC109" s="38">
        <f t="shared" si="35"/>
        <v>0</v>
      </c>
      <c r="AD109" s="38">
        <f t="shared" si="36"/>
        <v>0</v>
      </c>
      <c r="AE109" s="38">
        <f t="shared" si="37"/>
        <v>0</v>
      </c>
      <c r="AF109" s="38">
        <f t="shared" si="38"/>
        <v>0</v>
      </c>
      <c r="AG109" s="38">
        <f t="shared" si="39"/>
        <v>0</v>
      </c>
      <c r="AH109" s="38">
        <f t="shared" si="40"/>
        <v>0</v>
      </c>
      <c r="AI109" s="13" t="s">
        <v>51</v>
      </c>
      <c r="AJ109" s="38">
        <f t="shared" si="41"/>
        <v>0</v>
      </c>
      <c r="AK109" s="38">
        <f t="shared" si="42"/>
        <v>0</v>
      </c>
      <c r="AL109" s="38">
        <f t="shared" si="43"/>
        <v>0</v>
      </c>
      <c r="AN109" s="38">
        <v>21</v>
      </c>
      <c r="AO109" s="38">
        <f>H109*0</f>
        <v>0</v>
      </c>
      <c r="AP109" s="38">
        <f>H109*(1-0)</f>
        <v>0</v>
      </c>
      <c r="AQ109" s="41" t="s">
        <v>84</v>
      </c>
      <c r="AV109" s="38">
        <f t="shared" si="44"/>
        <v>0</v>
      </c>
      <c r="AW109" s="38">
        <f t="shared" si="45"/>
        <v>0</v>
      </c>
      <c r="AX109" s="38">
        <f t="shared" si="46"/>
        <v>0</v>
      </c>
      <c r="AY109" s="41" t="s">
        <v>279</v>
      </c>
      <c r="AZ109" s="41" t="s">
        <v>280</v>
      </c>
      <c r="BA109" s="13" t="s">
        <v>62</v>
      </c>
      <c r="BC109" s="38">
        <f t="shared" si="47"/>
        <v>0</v>
      </c>
      <c r="BD109" s="38">
        <f t="shared" si="48"/>
        <v>0</v>
      </c>
      <c r="BE109" s="38">
        <v>0</v>
      </c>
      <c r="BF109" s="38">
        <f t="shared" si="49"/>
        <v>0</v>
      </c>
      <c r="BH109" s="38">
        <f t="shared" si="50"/>
        <v>0</v>
      </c>
      <c r="BI109" s="38">
        <f t="shared" si="51"/>
        <v>0</v>
      </c>
      <c r="BJ109" s="38">
        <f t="shared" si="52"/>
        <v>0</v>
      </c>
      <c r="BK109" s="38"/>
      <c r="BL109" s="38">
        <v>721</v>
      </c>
      <c r="BW109" s="38">
        <f t="shared" si="53"/>
        <v>21</v>
      </c>
      <c r="BX109" s="5" t="s">
        <v>289</v>
      </c>
    </row>
    <row r="110" spans="1:76" x14ac:dyDescent="0.25">
      <c r="A110" s="2" t="s">
        <v>290</v>
      </c>
      <c r="B110" s="3" t="s">
        <v>51</v>
      </c>
      <c r="C110" s="3" t="s">
        <v>291</v>
      </c>
      <c r="D110" s="113" t="s">
        <v>292</v>
      </c>
      <c r="E110" s="110"/>
      <c r="F110" s="3" t="s">
        <v>66</v>
      </c>
      <c r="G110" s="38">
        <v>2</v>
      </c>
      <c r="H110" s="103"/>
      <c r="I110" s="39">
        <v>21</v>
      </c>
      <c r="J110" s="38">
        <f t="shared" si="28"/>
        <v>0</v>
      </c>
      <c r="K110" s="38">
        <f t="shared" si="29"/>
        <v>0</v>
      </c>
      <c r="L110" s="38">
        <f t="shared" si="30"/>
        <v>0</v>
      </c>
      <c r="M110" s="38">
        <f t="shared" si="31"/>
        <v>0</v>
      </c>
      <c r="N110" s="38">
        <v>0</v>
      </c>
      <c r="O110" s="38">
        <f t="shared" si="32"/>
        <v>0</v>
      </c>
      <c r="P110" s="40" t="s">
        <v>59</v>
      </c>
      <c r="Z110" s="38">
        <f t="shared" si="33"/>
        <v>0</v>
      </c>
      <c r="AB110" s="38">
        <f t="shared" si="34"/>
        <v>0</v>
      </c>
      <c r="AC110" s="38">
        <f t="shared" si="35"/>
        <v>0</v>
      </c>
      <c r="AD110" s="38">
        <f t="shared" si="36"/>
        <v>0</v>
      </c>
      <c r="AE110" s="38">
        <f t="shared" si="37"/>
        <v>0</v>
      </c>
      <c r="AF110" s="38">
        <f t="shared" si="38"/>
        <v>0</v>
      </c>
      <c r="AG110" s="38">
        <f t="shared" si="39"/>
        <v>0</v>
      </c>
      <c r="AH110" s="38">
        <f t="shared" si="40"/>
        <v>0</v>
      </c>
      <c r="AI110" s="13" t="s">
        <v>51</v>
      </c>
      <c r="AJ110" s="38">
        <f t="shared" si="41"/>
        <v>0</v>
      </c>
      <c r="AK110" s="38">
        <f t="shared" si="42"/>
        <v>0</v>
      </c>
      <c r="AL110" s="38">
        <f t="shared" si="43"/>
        <v>0</v>
      </c>
      <c r="AN110" s="38">
        <v>21</v>
      </c>
      <c r="AO110" s="38">
        <f>H110*0</f>
        <v>0</v>
      </c>
      <c r="AP110" s="38">
        <f>H110*(1-0)</f>
        <v>0</v>
      </c>
      <c r="AQ110" s="41" t="s">
        <v>84</v>
      </c>
      <c r="AV110" s="38">
        <f t="shared" si="44"/>
        <v>0</v>
      </c>
      <c r="AW110" s="38">
        <f t="shared" si="45"/>
        <v>0</v>
      </c>
      <c r="AX110" s="38">
        <f t="shared" si="46"/>
        <v>0</v>
      </c>
      <c r="AY110" s="41" t="s">
        <v>279</v>
      </c>
      <c r="AZ110" s="41" t="s">
        <v>280</v>
      </c>
      <c r="BA110" s="13" t="s">
        <v>62</v>
      </c>
      <c r="BC110" s="38">
        <f t="shared" si="47"/>
        <v>0</v>
      </c>
      <c r="BD110" s="38">
        <f t="shared" si="48"/>
        <v>0</v>
      </c>
      <c r="BE110" s="38">
        <v>0</v>
      </c>
      <c r="BF110" s="38">
        <f t="shared" si="49"/>
        <v>0</v>
      </c>
      <c r="BH110" s="38">
        <f t="shared" si="50"/>
        <v>0</v>
      </c>
      <c r="BI110" s="38">
        <f t="shared" si="51"/>
        <v>0</v>
      </c>
      <c r="BJ110" s="38">
        <f t="shared" si="52"/>
        <v>0</v>
      </c>
      <c r="BK110" s="38"/>
      <c r="BL110" s="38">
        <v>721</v>
      </c>
      <c r="BW110" s="38">
        <f t="shared" si="53"/>
        <v>21</v>
      </c>
      <c r="BX110" s="5" t="s">
        <v>292</v>
      </c>
    </row>
    <row r="111" spans="1:76" x14ac:dyDescent="0.25">
      <c r="A111" s="2" t="s">
        <v>232</v>
      </c>
      <c r="B111" s="3" t="s">
        <v>51</v>
      </c>
      <c r="C111" s="3" t="s">
        <v>293</v>
      </c>
      <c r="D111" s="113" t="s">
        <v>294</v>
      </c>
      <c r="E111" s="110"/>
      <c r="F111" s="3" t="s">
        <v>66</v>
      </c>
      <c r="G111" s="38">
        <v>4</v>
      </c>
      <c r="H111" s="103"/>
      <c r="I111" s="39">
        <v>21</v>
      </c>
      <c r="J111" s="38">
        <f t="shared" si="28"/>
        <v>0</v>
      </c>
      <c r="K111" s="38">
        <f t="shared" si="29"/>
        <v>0</v>
      </c>
      <c r="L111" s="38">
        <f t="shared" si="30"/>
        <v>0</v>
      </c>
      <c r="M111" s="38">
        <f t="shared" si="31"/>
        <v>0</v>
      </c>
      <c r="N111" s="38">
        <v>0</v>
      </c>
      <c r="O111" s="38">
        <f t="shared" si="32"/>
        <v>0</v>
      </c>
      <c r="P111" s="40" t="s">
        <v>59</v>
      </c>
      <c r="Z111" s="38">
        <f t="shared" si="33"/>
        <v>0</v>
      </c>
      <c r="AB111" s="38">
        <f t="shared" si="34"/>
        <v>0</v>
      </c>
      <c r="AC111" s="38">
        <f t="shared" si="35"/>
        <v>0</v>
      </c>
      <c r="AD111" s="38">
        <f t="shared" si="36"/>
        <v>0</v>
      </c>
      <c r="AE111" s="38">
        <f t="shared" si="37"/>
        <v>0</v>
      </c>
      <c r="AF111" s="38">
        <f t="shared" si="38"/>
        <v>0</v>
      </c>
      <c r="AG111" s="38">
        <f t="shared" si="39"/>
        <v>0</v>
      </c>
      <c r="AH111" s="38">
        <f t="shared" si="40"/>
        <v>0</v>
      </c>
      <c r="AI111" s="13" t="s">
        <v>51</v>
      </c>
      <c r="AJ111" s="38">
        <f t="shared" si="41"/>
        <v>0</v>
      </c>
      <c r="AK111" s="38">
        <f t="shared" si="42"/>
        <v>0</v>
      </c>
      <c r="AL111" s="38">
        <f t="shared" si="43"/>
        <v>0</v>
      </c>
      <c r="AN111" s="38">
        <v>21</v>
      </c>
      <c r="AO111" s="38">
        <f>H111*0</f>
        <v>0</v>
      </c>
      <c r="AP111" s="38">
        <f>H111*(1-0)</f>
        <v>0</v>
      </c>
      <c r="AQ111" s="41" t="s">
        <v>84</v>
      </c>
      <c r="AV111" s="38">
        <f t="shared" si="44"/>
        <v>0</v>
      </c>
      <c r="AW111" s="38">
        <f t="shared" si="45"/>
        <v>0</v>
      </c>
      <c r="AX111" s="38">
        <f t="shared" si="46"/>
        <v>0</v>
      </c>
      <c r="AY111" s="41" t="s">
        <v>279</v>
      </c>
      <c r="AZ111" s="41" t="s">
        <v>280</v>
      </c>
      <c r="BA111" s="13" t="s">
        <v>62</v>
      </c>
      <c r="BC111" s="38">
        <f t="shared" si="47"/>
        <v>0</v>
      </c>
      <c r="BD111" s="38">
        <f t="shared" si="48"/>
        <v>0</v>
      </c>
      <c r="BE111" s="38">
        <v>0</v>
      </c>
      <c r="BF111" s="38">
        <f t="shared" si="49"/>
        <v>0</v>
      </c>
      <c r="BH111" s="38">
        <f t="shared" si="50"/>
        <v>0</v>
      </c>
      <c r="BI111" s="38">
        <f t="shared" si="51"/>
        <v>0</v>
      </c>
      <c r="BJ111" s="38">
        <f t="shared" si="52"/>
        <v>0</v>
      </c>
      <c r="BK111" s="38"/>
      <c r="BL111" s="38">
        <v>721</v>
      </c>
      <c r="BW111" s="38">
        <f t="shared" si="53"/>
        <v>21</v>
      </c>
      <c r="BX111" s="5" t="s">
        <v>294</v>
      </c>
    </row>
    <row r="112" spans="1:76" x14ac:dyDescent="0.25">
      <c r="A112" s="2" t="s">
        <v>295</v>
      </c>
      <c r="B112" s="3" t="s">
        <v>51</v>
      </c>
      <c r="C112" s="3" t="s">
        <v>296</v>
      </c>
      <c r="D112" s="113" t="s">
        <v>297</v>
      </c>
      <c r="E112" s="110"/>
      <c r="F112" s="3" t="s">
        <v>118</v>
      </c>
      <c r="G112" s="38">
        <v>1</v>
      </c>
      <c r="H112" s="103"/>
      <c r="I112" s="39">
        <v>21</v>
      </c>
      <c r="J112" s="38">
        <f t="shared" si="28"/>
        <v>0</v>
      </c>
      <c r="K112" s="38">
        <f t="shared" si="29"/>
        <v>0</v>
      </c>
      <c r="L112" s="38">
        <f t="shared" si="30"/>
        <v>0</v>
      </c>
      <c r="M112" s="38">
        <f t="shared" si="31"/>
        <v>0</v>
      </c>
      <c r="N112" s="38">
        <v>6.2E-4</v>
      </c>
      <c r="O112" s="38">
        <f t="shared" si="32"/>
        <v>6.2E-4</v>
      </c>
      <c r="P112" s="40" t="s">
        <v>114</v>
      </c>
      <c r="Z112" s="38">
        <f t="shared" si="33"/>
        <v>0</v>
      </c>
      <c r="AB112" s="38">
        <f t="shared" si="34"/>
        <v>0</v>
      </c>
      <c r="AC112" s="38">
        <f t="shared" si="35"/>
        <v>0</v>
      </c>
      <c r="AD112" s="38">
        <f t="shared" si="36"/>
        <v>0</v>
      </c>
      <c r="AE112" s="38">
        <f t="shared" si="37"/>
        <v>0</v>
      </c>
      <c r="AF112" s="38">
        <f t="shared" si="38"/>
        <v>0</v>
      </c>
      <c r="AG112" s="38">
        <f t="shared" si="39"/>
        <v>0</v>
      </c>
      <c r="AH112" s="38">
        <f t="shared" si="40"/>
        <v>0</v>
      </c>
      <c r="AI112" s="13" t="s">
        <v>51</v>
      </c>
      <c r="AJ112" s="38">
        <f t="shared" si="41"/>
        <v>0</v>
      </c>
      <c r="AK112" s="38">
        <f t="shared" si="42"/>
        <v>0</v>
      </c>
      <c r="AL112" s="38">
        <f t="shared" si="43"/>
        <v>0</v>
      </c>
      <c r="AN112" s="38">
        <v>21</v>
      </c>
      <c r="AO112" s="38">
        <f>H112*0.318424</f>
        <v>0</v>
      </c>
      <c r="AP112" s="38">
        <f>H112*(1-0.318424)</f>
        <v>0</v>
      </c>
      <c r="AQ112" s="41" t="s">
        <v>84</v>
      </c>
      <c r="AV112" s="38">
        <f t="shared" si="44"/>
        <v>0</v>
      </c>
      <c r="AW112" s="38">
        <f t="shared" si="45"/>
        <v>0</v>
      </c>
      <c r="AX112" s="38">
        <f t="shared" si="46"/>
        <v>0</v>
      </c>
      <c r="AY112" s="41" t="s">
        <v>279</v>
      </c>
      <c r="AZ112" s="41" t="s">
        <v>280</v>
      </c>
      <c r="BA112" s="13" t="s">
        <v>62</v>
      </c>
      <c r="BC112" s="38">
        <f t="shared" si="47"/>
        <v>0</v>
      </c>
      <c r="BD112" s="38">
        <f t="shared" si="48"/>
        <v>0</v>
      </c>
      <c r="BE112" s="38">
        <v>0</v>
      </c>
      <c r="BF112" s="38">
        <f t="shared" si="49"/>
        <v>6.2E-4</v>
      </c>
      <c r="BH112" s="38">
        <f t="shared" si="50"/>
        <v>0</v>
      </c>
      <c r="BI112" s="38">
        <f t="shared" si="51"/>
        <v>0</v>
      </c>
      <c r="BJ112" s="38">
        <f t="shared" si="52"/>
        <v>0</v>
      </c>
      <c r="BK112" s="38"/>
      <c r="BL112" s="38">
        <v>721</v>
      </c>
      <c r="BW112" s="38">
        <f t="shared" si="53"/>
        <v>21</v>
      </c>
      <c r="BX112" s="5" t="s">
        <v>297</v>
      </c>
    </row>
    <row r="113" spans="1:76" ht="13.5" customHeight="1" x14ac:dyDescent="0.25">
      <c r="A113" s="42"/>
      <c r="C113" s="43" t="s">
        <v>87</v>
      </c>
      <c r="D113" s="179" t="s">
        <v>298</v>
      </c>
      <c r="E113" s="180"/>
      <c r="F113" s="180"/>
      <c r="G113" s="180"/>
      <c r="H113" s="180"/>
      <c r="I113" s="180"/>
      <c r="J113" s="180"/>
      <c r="K113" s="180"/>
      <c r="L113" s="180"/>
      <c r="M113" s="180"/>
      <c r="N113" s="180"/>
      <c r="O113" s="180"/>
      <c r="P113" s="181"/>
    </row>
    <row r="114" spans="1:76" x14ac:dyDescent="0.25">
      <c r="A114" s="2" t="s">
        <v>247</v>
      </c>
      <c r="B114" s="3" t="s">
        <v>51</v>
      </c>
      <c r="C114" s="3" t="s">
        <v>299</v>
      </c>
      <c r="D114" s="113" t="s">
        <v>300</v>
      </c>
      <c r="E114" s="110"/>
      <c r="F114" s="3" t="s">
        <v>100</v>
      </c>
      <c r="G114" s="38">
        <v>15</v>
      </c>
      <c r="H114" s="103"/>
      <c r="I114" s="39">
        <v>21</v>
      </c>
      <c r="J114" s="38">
        <f>ROUND(G114*AO114,2)</f>
        <v>0</v>
      </c>
      <c r="K114" s="38">
        <f>ROUND(G114*AP114,2)</f>
        <v>0</v>
      </c>
      <c r="L114" s="38">
        <f>ROUND(G114*H114,2)</f>
        <v>0</v>
      </c>
      <c r="M114" s="38">
        <f>L114*(1+BW114/100)</f>
        <v>0</v>
      </c>
      <c r="N114" s="38">
        <v>0</v>
      </c>
      <c r="O114" s="38">
        <f>G114*N114</f>
        <v>0</v>
      </c>
      <c r="P114" s="40" t="s">
        <v>59</v>
      </c>
      <c r="Z114" s="38">
        <f>ROUND(IF(AQ114="5",BJ114,0),2)</f>
        <v>0</v>
      </c>
      <c r="AB114" s="38">
        <f>ROUND(IF(AQ114="1",BH114,0),2)</f>
        <v>0</v>
      </c>
      <c r="AC114" s="38">
        <f>ROUND(IF(AQ114="1",BI114,0),2)</f>
        <v>0</v>
      </c>
      <c r="AD114" s="38">
        <f>ROUND(IF(AQ114="7",BH114,0),2)</f>
        <v>0</v>
      </c>
      <c r="AE114" s="38">
        <f>ROUND(IF(AQ114="7",BI114,0),2)</f>
        <v>0</v>
      </c>
      <c r="AF114" s="38">
        <f>ROUND(IF(AQ114="2",BH114,0),2)</f>
        <v>0</v>
      </c>
      <c r="AG114" s="38">
        <f>ROUND(IF(AQ114="2",BI114,0),2)</f>
        <v>0</v>
      </c>
      <c r="AH114" s="38">
        <f>ROUND(IF(AQ114="0",BJ114,0),2)</f>
        <v>0</v>
      </c>
      <c r="AI114" s="13" t="s">
        <v>51</v>
      </c>
      <c r="AJ114" s="38">
        <f>IF(AN114=0,L114,0)</f>
        <v>0</v>
      </c>
      <c r="AK114" s="38">
        <f>IF(AN114=12,L114,0)</f>
        <v>0</v>
      </c>
      <c r="AL114" s="38">
        <f>IF(AN114=21,L114,0)</f>
        <v>0</v>
      </c>
      <c r="AN114" s="38">
        <v>21</v>
      </c>
      <c r="AO114" s="38">
        <f>H114*0.028888889</f>
        <v>0</v>
      </c>
      <c r="AP114" s="38">
        <f>H114*(1-0.028888889)</f>
        <v>0</v>
      </c>
      <c r="AQ114" s="41" t="s">
        <v>84</v>
      </c>
      <c r="AV114" s="38">
        <f>ROUND(AW114+AX114,2)</f>
        <v>0</v>
      </c>
      <c r="AW114" s="38">
        <f>ROUND(G114*AO114,2)</f>
        <v>0</v>
      </c>
      <c r="AX114" s="38">
        <f>ROUND(G114*AP114,2)</f>
        <v>0</v>
      </c>
      <c r="AY114" s="41" t="s">
        <v>279</v>
      </c>
      <c r="AZ114" s="41" t="s">
        <v>280</v>
      </c>
      <c r="BA114" s="13" t="s">
        <v>62</v>
      </c>
      <c r="BC114" s="38">
        <f>AW114+AX114</f>
        <v>0</v>
      </c>
      <c r="BD114" s="38">
        <f>H114/(100-BE114)*100</f>
        <v>0</v>
      </c>
      <c r="BE114" s="38">
        <v>0</v>
      </c>
      <c r="BF114" s="38">
        <f>O114</f>
        <v>0</v>
      </c>
      <c r="BH114" s="38">
        <f>G114*AO114</f>
        <v>0</v>
      </c>
      <c r="BI114" s="38">
        <f>G114*AP114</f>
        <v>0</v>
      </c>
      <c r="BJ114" s="38">
        <f>G114*H114</f>
        <v>0</v>
      </c>
      <c r="BK114" s="38"/>
      <c r="BL114" s="38">
        <v>721</v>
      </c>
      <c r="BW114" s="38">
        <f>I114</f>
        <v>21</v>
      </c>
      <c r="BX114" s="5" t="s">
        <v>300</v>
      </c>
    </row>
    <row r="115" spans="1:76" ht="25.5" x14ac:dyDescent="0.25">
      <c r="A115" s="42"/>
      <c r="C115" s="43" t="s">
        <v>67</v>
      </c>
      <c r="D115" s="179" t="s">
        <v>301</v>
      </c>
      <c r="E115" s="180"/>
      <c r="F115" s="180"/>
      <c r="G115" s="180"/>
      <c r="H115" s="180"/>
      <c r="I115" s="180"/>
      <c r="J115" s="180"/>
      <c r="K115" s="180"/>
      <c r="L115" s="180"/>
      <c r="M115" s="180"/>
      <c r="N115" s="180"/>
      <c r="O115" s="180"/>
      <c r="P115" s="181"/>
      <c r="BX115" s="44" t="s">
        <v>301</v>
      </c>
    </row>
    <row r="116" spans="1:76" x14ac:dyDescent="0.25">
      <c r="A116" s="2" t="s">
        <v>302</v>
      </c>
      <c r="B116" s="3" t="s">
        <v>51</v>
      </c>
      <c r="C116" s="3" t="s">
        <v>303</v>
      </c>
      <c r="D116" s="113" t="s">
        <v>304</v>
      </c>
      <c r="E116" s="110"/>
      <c r="F116" s="3" t="s">
        <v>134</v>
      </c>
      <c r="G116" s="38">
        <v>7.7299999999999999E-3</v>
      </c>
      <c r="H116" s="103"/>
      <c r="I116" s="39">
        <v>21</v>
      </c>
      <c r="J116" s="38">
        <f>ROUND(G116*AO116,2)</f>
        <v>0</v>
      </c>
      <c r="K116" s="38">
        <f>ROUND(G116*AP116,2)</f>
        <v>0</v>
      </c>
      <c r="L116" s="38">
        <f>ROUND(G116*H116,2)</f>
        <v>0</v>
      </c>
      <c r="M116" s="38">
        <f>L116*(1+BW116/100)</f>
        <v>0</v>
      </c>
      <c r="N116" s="38">
        <v>0</v>
      </c>
      <c r="O116" s="38">
        <f>G116*N116</f>
        <v>0</v>
      </c>
      <c r="P116" s="40" t="s">
        <v>59</v>
      </c>
      <c r="Z116" s="38">
        <f>ROUND(IF(AQ116="5",BJ116,0),2)</f>
        <v>0</v>
      </c>
      <c r="AB116" s="38">
        <f>ROUND(IF(AQ116="1",BH116,0),2)</f>
        <v>0</v>
      </c>
      <c r="AC116" s="38">
        <f>ROUND(IF(AQ116="1",BI116,0),2)</f>
        <v>0</v>
      </c>
      <c r="AD116" s="38">
        <f>ROUND(IF(AQ116="7",BH116,0),2)</f>
        <v>0</v>
      </c>
      <c r="AE116" s="38">
        <f>ROUND(IF(AQ116="7",BI116,0),2)</f>
        <v>0</v>
      </c>
      <c r="AF116" s="38">
        <f>ROUND(IF(AQ116="2",BH116,0),2)</f>
        <v>0</v>
      </c>
      <c r="AG116" s="38">
        <f>ROUND(IF(AQ116="2",BI116,0),2)</f>
        <v>0</v>
      </c>
      <c r="AH116" s="38">
        <f>ROUND(IF(AQ116="0",BJ116,0),2)</f>
        <v>0</v>
      </c>
      <c r="AI116" s="13" t="s">
        <v>51</v>
      </c>
      <c r="AJ116" s="38">
        <f>IF(AN116=0,L116,0)</f>
        <v>0</v>
      </c>
      <c r="AK116" s="38">
        <f>IF(AN116=12,L116,0)</f>
        <v>0</v>
      </c>
      <c r="AL116" s="38">
        <f>IF(AN116=21,L116,0)</f>
        <v>0</v>
      </c>
      <c r="AN116" s="38">
        <v>21</v>
      </c>
      <c r="AO116" s="38">
        <f>H116*0</f>
        <v>0</v>
      </c>
      <c r="AP116" s="38">
        <f>H116*(1-0)</f>
        <v>0</v>
      </c>
      <c r="AQ116" s="41" t="s">
        <v>77</v>
      </c>
      <c r="AV116" s="38">
        <f>ROUND(AW116+AX116,2)</f>
        <v>0</v>
      </c>
      <c r="AW116" s="38">
        <f>ROUND(G116*AO116,2)</f>
        <v>0</v>
      </c>
      <c r="AX116" s="38">
        <f>ROUND(G116*AP116,2)</f>
        <v>0</v>
      </c>
      <c r="AY116" s="41" t="s">
        <v>279</v>
      </c>
      <c r="AZ116" s="41" t="s">
        <v>280</v>
      </c>
      <c r="BA116" s="13" t="s">
        <v>62</v>
      </c>
      <c r="BC116" s="38">
        <f>AW116+AX116</f>
        <v>0</v>
      </c>
      <c r="BD116" s="38">
        <f>H116/(100-BE116)*100</f>
        <v>0</v>
      </c>
      <c r="BE116" s="38">
        <v>0</v>
      </c>
      <c r="BF116" s="38">
        <f>O116</f>
        <v>0</v>
      </c>
      <c r="BH116" s="38">
        <f>G116*AO116</f>
        <v>0</v>
      </c>
      <c r="BI116" s="38">
        <f>G116*AP116</f>
        <v>0</v>
      </c>
      <c r="BJ116" s="38">
        <f>G116*H116</f>
        <v>0</v>
      </c>
      <c r="BK116" s="38"/>
      <c r="BL116" s="38">
        <v>721</v>
      </c>
      <c r="BW116" s="38">
        <f>I116</f>
        <v>21</v>
      </c>
      <c r="BX116" s="5" t="s">
        <v>304</v>
      </c>
    </row>
    <row r="117" spans="1:76" x14ac:dyDescent="0.25">
      <c r="A117" s="33" t="s">
        <v>50</v>
      </c>
      <c r="B117" s="34" t="s">
        <v>51</v>
      </c>
      <c r="C117" s="34" t="s">
        <v>305</v>
      </c>
      <c r="D117" s="191" t="s">
        <v>306</v>
      </c>
      <c r="E117" s="192"/>
      <c r="F117" s="36" t="s">
        <v>4</v>
      </c>
      <c r="G117" s="36" t="s">
        <v>4</v>
      </c>
      <c r="H117" s="36" t="s">
        <v>4</v>
      </c>
      <c r="I117" s="36" t="s">
        <v>4</v>
      </c>
      <c r="J117" s="1">
        <f>SUM(J118:J129)</f>
        <v>0</v>
      </c>
      <c r="K117" s="1">
        <f>SUM(K118:K129)</f>
        <v>0</v>
      </c>
      <c r="L117" s="1">
        <f>SUM(L118:L129)</f>
        <v>0</v>
      </c>
      <c r="M117" s="1">
        <f>SUM(M118:M129)</f>
        <v>0</v>
      </c>
      <c r="N117" s="13" t="s">
        <v>50</v>
      </c>
      <c r="O117" s="1">
        <f>SUM(O118:O129)</f>
        <v>8.7519999999999987E-2</v>
      </c>
      <c r="P117" s="37" t="s">
        <v>50</v>
      </c>
      <c r="AI117" s="13" t="s">
        <v>51</v>
      </c>
      <c r="AS117" s="1">
        <f>SUM(AJ118:AJ129)</f>
        <v>0</v>
      </c>
      <c r="AT117" s="1">
        <f>SUM(AK118:AK129)</f>
        <v>0</v>
      </c>
      <c r="AU117" s="1">
        <f>SUM(AL118:AL129)</f>
        <v>0</v>
      </c>
    </row>
    <row r="118" spans="1:76" x14ac:dyDescent="0.25">
      <c r="A118" s="2" t="s">
        <v>307</v>
      </c>
      <c r="B118" s="3" t="s">
        <v>51</v>
      </c>
      <c r="C118" s="3" t="s">
        <v>308</v>
      </c>
      <c r="D118" s="113" t="s">
        <v>309</v>
      </c>
      <c r="E118" s="110"/>
      <c r="F118" s="3" t="s">
        <v>66</v>
      </c>
      <c r="G118" s="38">
        <v>4</v>
      </c>
      <c r="H118" s="103"/>
      <c r="I118" s="39">
        <v>21</v>
      </c>
      <c r="J118" s="38">
        <f>ROUND(G118*AO118,2)</f>
        <v>0</v>
      </c>
      <c r="K118" s="38">
        <f>ROUND(G118*AP118,2)</f>
        <v>0</v>
      </c>
      <c r="L118" s="38">
        <f>ROUND(G118*H118,2)</f>
        <v>0</v>
      </c>
      <c r="M118" s="38">
        <f>L118*(1+BW118/100)</f>
        <v>0</v>
      </c>
      <c r="N118" s="38">
        <v>1.1E-4</v>
      </c>
      <c r="O118" s="38">
        <f>G118*N118</f>
        <v>4.4000000000000002E-4</v>
      </c>
      <c r="P118" s="40" t="s">
        <v>59</v>
      </c>
      <c r="Z118" s="38">
        <f>ROUND(IF(AQ118="5",BJ118,0),2)</f>
        <v>0</v>
      </c>
      <c r="AB118" s="38">
        <f>ROUND(IF(AQ118="1",BH118,0),2)</f>
        <v>0</v>
      </c>
      <c r="AC118" s="38">
        <f>ROUND(IF(AQ118="1",BI118,0),2)</f>
        <v>0</v>
      </c>
      <c r="AD118" s="38">
        <f>ROUND(IF(AQ118="7",BH118,0),2)</f>
        <v>0</v>
      </c>
      <c r="AE118" s="38">
        <f>ROUND(IF(AQ118="7",BI118,0),2)</f>
        <v>0</v>
      </c>
      <c r="AF118" s="38">
        <f>ROUND(IF(AQ118="2",BH118,0),2)</f>
        <v>0</v>
      </c>
      <c r="AG118" s="38">
        <f>ROUND(IF(AQ118="2",BI118,0),2)</f>
        <v>0</v>
      </c>
      <c r="AH118" s="38">
        <f>ROUND(IF(AQ118="0",BJ118,0),2)</f>
        <v>0</v>
      </c>
      <c r="AI118" s="13" t="s">
        <v>51</v>
      </c>
      <c r="AJ118" s="38">
        <f>IF(AN118=0,L118,0)</f>
        <v>0</v>
      </c>
      <c r="AK118" s="38">
        <f>IF(AN118=12,L118,0)</f>
        <v>0</v>
      </c>
      <c r="AL118" s="38">
        <f>IF(AN118=21,L118,0)</f>
        <v>0</v>
      </c>
      <c r="AN118" s="38">
        <v>21</v>
      </c>
      <c r="AO118" s="38">
        <f>H118*0.414039939</f>
        <v>0</v>
      </c>
      <c r="AP118" s="38">
        <f>H118*(1-0.414039939)</f>
        <v>0</v>
      </c>
      <c r="AQ118" s="41" t="s">
        <v>84</v>
      </c>
      <c r="AV118" s="38">
        <f>ROUND(AW118+AX118,2)</f>
        <v>0</v>
      </c>
      <c r="AW118" s="38">
        <f>ROUND(G118*AO118,2)</f>
        <v>0</v>
      </c>
      <c r="AX118" s="38">
        <f>ROUND(G118*AP118,2)</f>
        <v>0</v>
      </c>
      <c r="AY118" s="41" t="s">
        <v>310</v>
      </c>
      <c r="AZ118" s="41" t="s">
        <v>280</v>
      </c>
      <c r="BA118" s="13" t="s">
        <v>62</v>
      </c>
      <c r="BC118" s="38">
        <f>AW118+AX118</f>
        <v>0</v>
      </c>
      <c r="BD118" s="38">
        <f>H118/(100-BE118)*100</f>
        <v>0</v>
      </c>
      <c r="BE118" s="38">
        <v>0</v>
      </c>
      <c r="BF118" s="38">
        <f>O118</f>
        <v>4.4000000000000002E-4</v>
      </c>
      <c r="BH118" s="38">
        <f>G118*AO118</f>
        <v>0</v>
      </c>
      <c r="BI118" s="38">
        <f>G118*AP118</f>
        <v>0</v>
      </c>
      <c r="BJ118" s="38">
        <f>G118*H118</f>
        <v>0</v>
      </c>
      <c r="BK118" s="38"/>
      <c r="BL118" s="38">
        <v>722</v>
      </c>
      <c r="BW118" s="38">
        <f>I118</f>
        <v>21</v>
      </c>
      <c r="BX118" s="5" t="s">
        <v>309</v>
      </c>
    </row>
    <row r="119" spans="1:76" x14ac:dyDescent="0.25">
      <c r="A119" s="2" t="s">
        <v>311</v>
      </c>
      <c r="B119" s="3" t="s">
        <v>51</v>
      </c>
      <c r="C119" s="3" t="s">
        <v>312</v>
      </c>
      <c r="D119" s="113" t="s">
        <v>313</v>
      </c>
      <c r="E119" s="110"/>
      <c r="F119" s="3" t="s">
        <v>100</v>
      </c>
      <c r="G119" s="38">
        <v>18</v>
      </c>
      <c r="H119" s="103"/>
      <c r="I119" s="39">
        <v>21</v>
      </c>
      <c r="J119" s="38">
        <f>ROUND(G119*AO119,2)</f>
        <v>0</v>
      </c>
      <c r="K119" s="38">
        <f>ROUND(G119*AP119,2)</f>
        <v>0</v>
      </c>
      <c r="L119" s="38">
        <f>ROUND(G119*H119,2)</f>
        <v>0</v>
      </c>
      <c r="M119" s="38">
        <f>L119*(1+BW119/100)</f>
        <v>0</v>
      </c>
      <c r="N119" s="38">
        <v>3.9899999999999996E-3</v>
      </c>
      <c r="O119" s="38">
        <f>G119*N119</f>
        <v>7.1819999999999995E-2</v>
      </c>
      <c r="P119" s="40" t="s">
        <v>59</v>
      </c>
      <c r="Z119" s="38">
        <f>ROUND(IF(AQ119="5",BJ119,0),2)</f>
        <v>0</v>
      </c>
      <c r="AB119" s="38">
        <f>ROUND(IF(AQ119="1",BH119,0),2)</f>
        <v>0</v>
      </c>
      <c r="AC119" s="38">
        <f>ROUND(IF(AQ119="1",BI119,0),2)</f>
        <v>0</v>
      </c>
      <c r="AD119" s="38">
        <f>ROUND(IF(AQ119="7",BH119,0),2)</f>
        <v>0</v>
      </c>
      <c r="AE119" s="38">
        <f>ROUND(IF(AQ119="7",BI119,0),2)</f>
        <v>0</v>
      </c>
      <c r="AF119" s="38">
        <f>ROUND(IF(AQ119="2",BH119,0),2)</f>
        <v>0</v>
      </c>
      <c r="AG119" s="38">
        <f>ROUND(IF(AQ119="2",BI119,0),2)</f>
        <v>0</v>
      </c>
      <c r="AH119" s="38">
        <f>ROUND(IF(AQ119="0",BJ119,0),2)</f>
        <v>0</v>
      </c>
      <c r="AI119" s="13" t="s">
        <v>51</v>
      </c>
      <c r="AJ119" s="38">
        <f>IF(AN119=0,L119,0)</f>
        <v>0</v>
      </c>
      <c r="AK119" s="38">
        <f>IF(AN119=12,L119,0)</f>
        <v>0</v>
      </c>
      <c r="AL119" s="38">
        <f>IF(AN119=21,L119,0)</f>
        <v>0</v>
      </c>
      <c r="AN119" s="38">
        <v>21</v>
      </c>
      <c r="AO119" s="38">
        <f>H119*0.226912114</f>
        <v>0</v>
      </c>
      <c r="AP119" s="38">
        <f>H119*(1-0.226912114)</f>
        <v>0</v>
      </c>
      <c r="AQ119" s="41" t="s">
        <v>84</v>
      </c>
      <c r="AV119" s="38">
        <f>ROUND(AW119+AX119,2)</f>
        <v>0</v>
      </c>
      <c r="AW119" s="38">
        <f>ROUND(G119*AO119,2)</f>
        <v>0</v>
      </c>
      <c r="AX119" s="38">
        <f>ROUND(G119*AP119,2)</f>
        <v>0</v>
      </c>
      <c r="AY119" s="41" t="s">
        <v>310</v>
      </c>
      <c r="AZ119" s="41" t="s">
        <v>280</v>
      </c>
      <c r="BA119" s="13" t="s">
        <v>62</v>
      </c>
      <c r="BC119" s="38">
        <f>AW119+AX119</f>
        <v>0</v>
      </c>
      <c r="BD119" s="38">
        <f>H119/(100-BE119)*100</f>
        <v>0</v>
      </c>
      <c r="BE119" s="38">
        <v>0</v>
      </c>
      <c r="BF119" s="38">
        <f>O119</f>
        <v>7.1819999999999995E-2</v>
      </c>
      <c r="BH119" s="38">
        <f>G119*AO119</f>
        <v>0</v>
      </c>
      <c r="BI119" s="38">
        <f>G119*AP119</f>
        <v>0</v>
      </c>
      <c r="BJ119" s="38">
        <f>G119*H119</f>
        <v>0</v>
      </c>
      <c r="BK119" s="38"/>
      <c r="BL119" s="38">
        <v>722</v>
      </c>
      <c r="BW119" s="38">
        <f>I119</f>
        <v>21</v>
      </c>
      <c r="BX119" s="5" t="s">
        <v>313</v>
      </c>
    </row>
    <row r="120" spans="1:76" x14ac:dyDescent="0.25">
      <c r="A120" s="2" t="s">
        <v>314</v>
      </c>
      <c r="B120" s="3" t="s">
        <v>51</v>
      </c>
      <c r="C120" s="3" t="s">
        <v>315</v>
      </c>
      <c r="D120" s="113" t="s">
        <v>316</v>
      </c>
      <c r="E120" s="110"/>
      <c r="F120" s="3" t="s">
        <v>100</v>
      </c>
      <c r="G120" s="38">
        <v>18</v>
      </c>
      <c r="H120" s="103"/>
      <c r="I120" s="39">
        <v>21</v>
      </c>
      <c r="J120" s="38">
        <f>ROUND(G120*AO120,2)</f>
        <v>0</v>
      </c>
      <c r="K120" s="38">
        <f>ROUND(G120*AP120,2)</f>
        <v>0</v>
      </c>
      <c r="L120" s="38">
        <f>ROUND(G120*H120,2)</f>
        <v>0</v>
      </c>
      <c r="M120" s="38">
        <f>L120*(1+BW120/100)</f>
        <v>0</v>
      </c>
      <c r="N120" s="38">
        <v>1.0000000000000001E-5</v>
      </c>
      <c r="O120" s="38">
        <f>G120*N120</f>
        <v>1.8000000000000001E-4</v>
      </c>
      <c r="P120" s="40" t="s">
        <v>59</v>
      </c>
      <c r="Z120" s="38">
        <f>ROUND(IF(AQ120="5",BJ120,0),2)</f>
        <v>0</v>
      </c>
      <c r="AB120" s="38">
        <f>ROUND(IF(AQ120="1",BH120,0),2)</f>
        <v>0</v>
      </c>
      <c r="AC120" s="38">
        <f>ROUND(IF(AQ120="1",BI120,0),2)</f>
        <v>0</v>
      </c>
      <c r="AD120" s="38">
        <f>ROUND(IF(AQ120="7",BH120,0),2)</f>
        <v>0</v>
      </c>
      <c r="AE120" s="38">
        <f>ROUND(IF(AQ120="7",BI120,0),2)</f>
        <v>0</v>
      </c>
      <c r="AF120" s="38">
        <f>ROUND(IF(AQ120="2",BH120,0),2)</f>
        <v>0</v>
      </c>
      <c r="AG120" s="38">
        <f>ROUND(IF(AQ120="2",BI120,0),2)</f>
        <v>0</v>
      </c>
      <c r="AH120" s="38">
        <f>ROUND(IF(AQ120="0",BJ120,0),2)</f>
        <v>0</v>
      </c>
      <c r="AI120" s="13" t="s">
        <v>51</v>
      </c>
      <c r="AJ120" s="38">
        <f>IF(AN120=0,L120,0)</f>
        <v>0</v>
      </c>
      <c r="AK120" s="38">
        <f>IF(AN120=12,L120,0)</f>
        <v>0</v>
      </c>
      <c r="AL120" s="38">
        <f>IF(AN120=21,L120,0)</f>
        <v>0</v>
      </c>
      <c r="AN120" s="38">
        <v>21</v>
      </c>
      <c r="AO120" s="38">
        <f>H120*0.155978086</f>
        <v>0</v>
      </c>
      <c r="AP120" s="38">
        <f>H120*(1-0.155978086)</f>
        <v>0</v>
      </c>
      <c r="AQ120" s="41" t="s">
        <v>84</v>
      </c>
      <c r="AV120" s="38">
        <f>ROUND(AW120+AX120,2)</f>
        <v>0</v>
      </c>
      <c r="AW120" s="38">
        <f>ROUND(G120*AO120,2)</f>
        <v>0</v>
      </c>
      <c r="AX120" s="38">
        <f>ROUND(G120*AP120,2)</f>
        <v>0</v>
      </c>
      <c r="AY120" s="41" t="s">
        <v>310</v>
      </c>
      <c r="AZ120" s="41" t="s">
        <v>280</v>
      </c>
      <c r="BA120" s="13" t="s">
        <v>62</v>
      </c>
      <c r="BC120" s="38">
        <f>AW120+AX120</f>
        <v>0</v>
      </c>
      <c r="BD120" s="38">
        <f>H120/(100-BE120)*100</f>
        <v>0</v>
      </c>
      <c r="BE120" s="38">
        <v>0</v>
      </c>
      <c r="BF120" s="38">
        <f>O120</f>
        <v>1.8000000000000001E-4</v>
      </c>
      <c r="BH120" s="38">
        <f>G120*AO120</f>
        <v>0</v>
      </c>
      <c r="BI120" s="38">
        <f>G120*AP120</f>
        <v>0</v>
      </c>
      <c r="BJ120" s="38">
        <f>G120*H120</f>
        <v>0</v>
      </c>
      <c r="BK120" s="38"/>
      <c r="BL120" s="38">
        <v>722</v>
      </c>
      <c r="BW120" s="38">
        <f>I120</f>
        <v>21</v>
      </c>
      <c r="BX120" s="5" t="s">
        <v>316</v>
      </c>
    </row>
    <row r="121" spans="1:76" ht="13.5" customHeight="1" x14ac:dyDescent="0.25">
      <c r="A121" s="42"/>
      <c r="C121" s="43" t="s">
        <v>87</v>
      </c>
      <c r="D121" s="179" t="s">
        <v>317</v>
      </c>
      <c r="E121" s="180"/>
      <c r="F121" s="180"/>
      <c r="G121" s="180"/>
      <c r="H121" s="180"/>
      <c r="I121" s="180"/>
      <c r="J121" s="180"/>
      <c r="K121" s="180"/>
      <c r="L121" s="180"/>
      <c r="M121" s="180"/>
      <c r="N121" s="180"/>
      <c r="O121" s="180"/>
      <c r="P121" s="181"/>
    </row>
    <row r="122" spans="1:76" x14ac:dyDescent="0.25">
      <c r="A122" s="42"/>
      <c r="C122" s="43" t="s">
        <v>67</v>
      </c>
      <c r="D122" s="179" t="s">
        <v>318</v>
      </c>
      <c r="E122" s="180"/>
      <c r="F122" s="180"/>
      <c r="G122" s="180"/>
      <c r="H122" s="180"/>
      <c r="I122" s="180"/>
      <c r="J122" s="180"/>
      <c r="K122" s="180"/>
      <c r="L122" s="180"/>
      <c r="M122" s="180"/>
      <c r="N122" s="180"/>
      <c r="O122" s="180"/>
      <c r="P122" s="181"/>
      <c r="BX122" s="44" t="s">
        <v>318</v>
      </c>
    </row>
    <row r="123" spans="1:76" x14ac:dyDescent="0.25">
      <c r="A123" s="2" t="s">
        <v>319</v>
      </c>
      <c r="B123" s="3" t="s">
        <v>51</v>
      </c>
      <c r="C123" s="3" t="s">
        <v>320</v>
      </c>
      <c r="D123" s="113" t="s">
        <v>321</v>
      </c>
      <c r="E123" s="110"/>
      <c r="F123" s="3" t="s">
        <v>118</v>
      </c>
      <c r="G123" s="38">
        <v>14</v>
      </c>
      <c r="H123" s="103"/>
      <c r="I123" s="39">
        <v>21</v>
      </c>
      <c r="J123" s="38">
        <f>ROUND(G123*AO123,2)</f>
        <v>0</v>
      </c>
      <c r="K123" s="38">
        <f>ROUND(G123*AP123,2)</f>
        <v>0</v>
      </c>
      <c r="L123" s="38">
        <f>ROUND(G123*H123,2)</f>
        <v>0</v>
      </c>
      <c r="M123" s="38">
        <f>L123*(1+BW123/100)</f>
        <v>0</v>
      </c>
      <c r="N123" s="38">
        <v>8.4999999999999995E-4</v>
      </c>
      <c r="O123" s="38">
        <f>G123*N123</f>
        <v>1.1899999999999999E-2</v>
      </c>
      <c r="P123" s="40" t="s">
        <v>59</v>
      </c>
      <c r="Z123" s="38">
        <f>ROUND(IF(AQ123="5",BJ123,0),2)</f>
        <v>0</v>
      </c>
      <c r="AB123" s="38">
        <f>ROUND(IF(AQ123="1",BH123,0),2)</f>
        <v>0</v>
      </c>
      <c r="AC123" s="38">
        <f>ROUND(IF(AQ123="1",BI123,0),2)</f>
        <v>0</v>
      </c>
      <c r="AD123" s="38">
        <f>ROUND(IF(AQ123="7",BH123,0),2)</f>
        <v>0</v>
      </c>
      <c r="AE123" s="38">
        <f>ROUND(IF(AQ123="7",BI123,0),2)</f>
        <v>0</v>
      </c>
      <c r="AF123" s="38">
        <f>ROUND(IF(AQ123="2",BH123,0),2)</f>
        <v>0</v>
      </c>
      <c r="AG123" s="38">
        <f>ROUND(IF(AQ123="2",BI123,0),2)</f>
        <v>0</v>
      </c>
      <c r="AH123" s="38">
        <f>ROUND(IF(AQ123="0",BJ123,0),2)</f>
        <v>0</v>
      </c>
      <c r="AI123" s="13" t="s">
        <v>51</v>
      </c>
      <c r="AJ123" s="38">
        <f>IF(AN123=0,L123,0)</f>
        <v>0</v>
      </c>
      <c r="AK123" s="38">
        <f>IF(AN123=12,L123,0)</f>
        <v>0</v>
      </c>
      <c r="AL123" s="38">
        <f>IF(AN123=21,L123,0)</f>
        <v>0</v>
      </c>
      <c r="AN123" s="38">
        <v>21</v>
      </c>
      <c r="AO123" s="38">
        <f>H123*0.665363409</f>
        <v>0</v>
      </c>
      <c r="AP123" s="38">
        <f>H123*(1-0.665363409)</f>
        <v>0</v>
      </c>
      <c r="AQ123" s="41" t="s">
        <v>84</v>
      </c>
      <c r="AV123" s="38">
        <f>ROUND(AW123+AX123,2)</f>
        <v>0</v>
      </c>
      <c r="AW123" s="38">
        <f>ROUND(G123*AO123,2)</f>
        <v>0</v>
      </c>
      <c r="AX123" s="38">
        <f>ROUND(G123*AP123,2)</f>
        <v>0</v>
      </c>
      <c r="AY123" s="41" t="s">
        <v>310</v>
      </c>
      <c r="AZ123" s="41" t="s">
        <v>280</v>
      </c>
      <c r="BA123" s="13" t="s">
        <v>62</v>
      </c>
      <c r="BC123" s="38">
        <f>AW123+AX123</f>
        <v>0</v>
      </c>
      <c r="BD123" s="38">
        <f>H123/(100-BE123)*100</f>
        <v>0</v>
      </c>
      <c r="BE123" s="38">
        <v>0</v>
      </c>
      <c r="BF123" s="38">
        <f>O123</f>
        <v>1.1899999999999999E-2</v>
      </c>
      <c r="BH123" s="38">
        <f>G123*AO123</f>
        <v>0</v>
      </c>
      <c r="BI123" s="38">
        <f>G123*AP123</f>
        <v>0</v>
      </c>
      <c r="BJ123" s="38">
        <f>G123*H123</f>
        <v>0</v>
      </c>
      <c r="BK123" s="38"/>
      <c r="BL123" s="38">
        <v>722</v>
      </c>
      <c r="BW123" s="38">
        <f>I123</f>
        <v>21</v>
      </c>
      <c r="BX123" s="5" t="s">
        <v>321</v>
      </c>
    </row>
    <row r="124" spans="1:76" x14ac:dyDescent="0.25">
      <c r="A124" s="2" t="s">
        <v>322</v>
      </c>
      <c r="B124" s="3" t="s">
        <v>51</v>
      </c>
      <c r="C124" s="3" t="s">
        <v>323</v>
      </c>
      <c r="D124" s="113" t="s">
        <v>324</v>
      </c>
      <c r="E124" s="110"/>
      <c r="F124" s="3" t="s">
        <v>100</v>
      </c>
      <c r="G124" s="38">
        <v>18</v>
      </c>
      <c r="H124" s="103"/>
      <c r="I124" s="39">
        <v>21</v>
      </c>
      <c r="J124" s="38">
        <f>ROUND(G124*AO124,2)</f>
        <v>0</v>
      </c>
      <c r="K124" s="38">
        <f>ROUND(G124*AP124,2)</f>
        <v>0</v>
      </c>
      <c r="L124" s="38">
        <f>ROUND(G124*H124,2)</f>
        <v>0</v>
      </c>
      <c r="M124" s="38">
        <f>L124*(1+BW124/100)</f>
        <v>0</v>
      </c>
      <c r="N124" s="38">
        <v>0</v>
      </c>
      <c r="O124" s="38">
        <f>G124*N124</f>
        <v>0</v>
      </c>
      <c r="P124" s="40" t="s">
        <v>114</v>
      </c>
      <c r="Z124" s="38">
        <f>ROUND(IF(AQ124="5",BJ124,0),2)</f>
        <v>0</v>
      </c>
      <c r="AB124" s="38">
        <f>ROUND(IF(AQ124="1",BH124,0),2)</f>
        <v>0</v>
      </c>
      <c r="AC124" s="38">
        <f>ROUND(IF(AQ124="1",BI124,0),2)</f>
        <v>0</v>
      </c>
      <c r="AD124" s="38">
        <f>ROUND(IF(AQ124="7",BH124,0),2)</f>
        <v>0</v>
      </c>
      <c r="AE124" s="38">
        <f>ROUND(IF(AQ124="7",BI124,0),2)</f>
        <v>0</v>
      </c>
      <c r="AF124" s="38">
        <f>ROUND(IF(AQ124="2",BH124,0),2)</f>
        <v>0</v>
      </c>
      <c r="AG124" s="38">
        <f>ROUND(IF(AQ124="2",BI124,0),2)</f>
        <v>0</v>
      </c>
      <c r="AH124" s="38">
        <f>ROUND(IF(AQ124="0",BJ124,0),2)</f>
        <v>0</v>
      </c>
      <c r="AI124" s="13" t="s">
        <v>51</v>
      </c>
      <c r="AJ124" s="38">
        <f>IF(AN124=0,L124,0)</f>
        <v>0</v>
      </c>
      <c r="AK124" s="38">
        <f>IF(AN124=12,L124,0)</f>
        <v>0</v>
      </c>
      <c r="AL124" s="38">
        <f>IF(AN124=21,L124,0)</f>
        <v>0</v>
      </c>
      <c r="AN124" s="38">
        <v>21</v>
      </c>
      <c r="AO124" s="38">
        <f>H124*0.0152</f>
        <v>0</v>
      </c>
      <c r="AP124" s="38">
        <f>H124*(1-0.0152)</f>
        <v>0</v>
      </c>
      <c r="AQ124" s="41" t="s">
        <v>84</v>
      </c>
      <c r="AV124" s="38">
        <f>ROUND(AW124+AX124,2)</f>
        <v>0</v>
      </c>
      <c r="AW124" s="38">
        <f>ROUND(G124*AO124,2)</f>
        <v>0</v>
      </c>
      <c r="AX124" s="38">
        <f>ROUND(G124*AP124,2)</f>
        <v>0</v>
      </c>
      <c r="AY124" s="41" t="s">
        <v>310</v>
      </c>
      <c r="AZ124" s="41" t="s">
        <v>280</v>
      </c>
      <c r="BA124" s="13" t="s">
        <v>62</v>
      </c>
      <c r="BC124" s="38">
        <f>AW124+AX124</f>
        <v>0</v>
      </c>
      <c r="BD124" s="38">
        <f>H124/(100-BE124)*100</f>
        <v>0</v>
      </c>
      <c r="BE124" s="38">
        <v>0</v>
      </c>
      <c r="BF124" s="38">
        <f>O124</f>
        <v>0</v>
      </c>
      <c r="BH124" s="38">
        <f>G124*AO124</f>
        <v>0</v>
      </c>
      <c r="BI124" s="38">
        <f>G124*AP124</f>
        <v>0</v>
      </c>
      <c r="BJ124" s="38">
        <f>G124*H124</f>
        <v>0</v>
      </c>
      <c r="BK124" s="38"/>
      <c r="BL124" s="38">
        <v>722</v>
      </c>
      <c r="BW124" s="38">
        <f>I124</f>
        <v>21</v>
      </c>
      <c r="BX124" s="5" t="s">
        <v>324</v>
      </c>
    </row>
    <row r="125" spans="1:76" x14ac:dyDescent="0.25">
      <c r="A125" s="2" t="s">
        <v>325</v>
      </c>
      <c r="B125" s="3" t="s">
        <v>51</v>
      </c>
      <c r="C125" s="3" t="s">
        <v>326</v>
      </c>
      <c r="D125" s="113" t="s">
        <v>327</v>
      </c>
      <c r="E125" s="110"/>
      <c r="F125" s="3" t="s">
        <v>100</v>
      </c>
      <c r="G125" s="38">
        <v>18</v>
      </c>
      <c r="H125" s="103"/>
      <c r="I125" s="39">
        <v>21</v>
      </c>
      <c r="J125" s="38">
        <f>ROUND(G125*AO125,2)</f>
        <v>0</v>
      </c>
      <c r="K125" s="38">
        <f>ROUND(G125*AP125,2)</f>
        <v>0</v>
      </c>
      <c r="L125" s="38">
        <f>ROUND(G125*H125,2)</f>
        <v>0</v>
      </c>
      <c r="M125" s="38">
        <f>L125*(1+BW125/100)</f>
        <v>0</v>
      </c>
      <c r="N125" s="38">
        <v>1.0000000000000001E-5</v>
      </c>
      <c r="O125" s="38">
        <f>G125*N125</f>
        <v>1.8000000000000001E-4</v>
      </c>
      <c r="P125" s="40" t="s">
        <v>59</v>
      </c>
      <c r="Z125" s="38">
        <f>ROUND(IF(AQ125="5",BJ125,0),2)</f>
        <v>0</v>
      </c>
      <c r="AB125" s="38">
        <f>ROUND(IF(AQ125="1",BH125,0),2)</f>
        <v>0</v>
      </c>
      <c r="AC125" s="38">
        <f>ROUND(IF(AQ125="1",BI125,0),2)</f>
        <v>0</v>
      </c>
      <c r="AD125" s="38">
        <f>ROUND(IF(AQ125="7",BH125,0),2)</f>
        <v>0</v>
      </c>
      <c r="AE125" s="38">
        <f>ROUND(IF(AQ125="7",BI125,0),2)</f>
        <v>0</v>
      </c>
      <c r="AF125" s="38">
        <f>ROUND(IF(AQ125="2",BH125,0),2)</f>
        <v>0</v>
      </c>
      <c r="AG125" s="38">
        <f>ROUND(IF(AQ125="2",BI125,0),2)</f>
        <v>0</v>
      </c>
      <c r="AH125" s="38">
        <f>ROUND(IF(AQ125="0",BJ125,0),2)</f>
        <v>0</v>
      </c>
      <c r="AI125" s="13" t="s">
        <v>51</v>
      </c>
      <c r="AJ125" s="38">
        <f>IF(AN125=0,L125,0)</f>
        <v>0</v>
      </c>
      <c r="AK125" s="38">
        <f>IF(AN125=12,L125,0)</f>
        <v>0</v>
      </c>
      <c r="AL125" s="38">
        <f>IF(AN125=21,L125,0)</f>
        <v>0</v>
      </c>
      <c r="AN125" s="38">
        <v>21</v>
      </c>
      <c r="AO125" s="38">
        <f>H125*0.051682692</f>
        <v>0</v>
      </c>
      <c r="AP125" s="38">
        <f>H125*(1-0.051682692)</f>
        <v>0</v>
      </c>
      <c r="AQ125" s="41" t="s">
        <v>84</v>
      </c>
      <c r="AV125" s="38">
        <f>ROUND(AW125+AX125,2)</f>
        <v>0</v>
      </c>
      <c r="AW125" s="38">
        <f>ROUND(G125*AO125,2)</f>
        <v>0</v>
      </c>
      <c r="AX125" s="38">
        <f>ROUND(G125*AP125,2)</f>
        <v>0</v>
      </c>
      <c r="AY125" s="41" t="s">
        <v>310</v>
      </c>
      <c r="AZ125" s="41" t="s">
        <v>280</v>
      </c>
      <c r="BA125" s="13" t="s">
        <v>62</v>
      </c>
      <c r="BC125" s="38">
        <f>AW125+AX125</f>
        <v>0</v>
      </c>
      <c r="BD125" s="38">
        <f>H125/(100-BE125)*100</f>
        <v>0</v>
      </c>
      <c r="BE125" s="38">
        <v>0</v>
      </c>
      <c r="BF125" s="38">
        <f>O125</f>
        <v>1.8000000000000001E-4</v>
      </c>
      <c r="BH125" s="38">
        <f>G125*AO125</f>
        <v>0</v>
      </c>
      <c r="BI125" s="38">
        <f>G125*AP125</f>
        <v>0</v>
      </c>
      <c r="BJ125" s="38">
        <f>G125*H125</f>
        <v>0</v>
      </c>
      <c r="BK125" s="38"/>
      <c r="BL125" s="38">
        <v>722</v>
      </c>
      <c r="BW125" s="38">
        <f>I125</f>
        <v>21</v>
      </c>
      <c r="BX125" s="5" t="s">
        <v>327</v>
      </c>
    </row>
    <row r="126" spans="1:76" x14ac:dyDescent="0.25">
      <c r="A126" s="2" t="s">
        <v>328</v>
      </c>
      <c r="B126" s="3" t="s">
        <v>51</v>
      </c>
      <c r="C126" s="3" t="s">
        <v>329</v>
      </c>
      <c r="D126" s="113" t="s">
        <v>297</v>
      </c>
      <c r="E126" s="110"/>
      <c r="F126" s="3" t="s">
        <v>118</v>
      </c>
      <c r="G126" s="38">
        <v>1</v>
      </c>
      <c r="H126" s="103"/>
      <c r="I126" s="39">
        <v>21</v>
      </c>
      <c r="J126" s="38">
        <f>ROUND(G126*AO126,2)</f>
        <v>0</v>
      </c>
      <c r="K126" s="38">
        <f>ROUND(G126*AP126,2)</f>
        <v>0</v>
      </c>
      <c r="L126" s="38">
        <f>ROUND(G126*H126,2)</f>
        <v>0</v>
      </c>
      <c r="M126" s="38">
        <f>L126*(1+BW126/100)</f>
        <v>0</v>
      </c>
      <c r="N126" s="38">
        <v>6.2E-4</v>
      </c>
      <c r="O126" s="38">
        <f>G126*N126</f>
        <v>6.2E-4</v>
      </c>
      <c r="P126" s="40" t="s">
        <v>114</v>
      </c>
      <c r="Z126" s="38">
        <f>ROUND(IF(AQ126="5",BJ126,0),2)</f>
        <v>0</v>
      </c>
      <c r="AB126" s="38">
        <f>ROUND(IF(AQ126="1",BH126,0),2)</f>
        <v>0</v>
      </c>
      <c r="AC126" s="38">
        <f>ROUND(IF(AQ126="1",BI126,0),2)</f>
        <v>0</v>
      </c>
      <c r="AD126" s="38">
        <f>ROUND(IF(AQ126="7",BH126,0),2)</f>
        <v>0</v>
      </c>
      <c r="AE126" s="38">
        <f>ROUND(IF(AQ126="7",BI126,0),2)</f>
        <v>0</v>
      </c>
      <c r="AF126" s="38">
        <f>ROUND(IF(AQ126="2",BH126,0),2)</f>
        <v>0</v>
      </c>
      <c r="AG126" s="38">
        <f>ROUND(IF(AQ126="2",BI126,0),2)</f>
        <v>0</v>
      </c>
      <c r="AH126" s="38">
        <f>ROUND(IF(AQ126="0",BJ126,0),2)</f>
        <v>0</v>
      </c>
      <c r="AI126" s="13" t="s">
        <v>51</v>
      </c>
      <c r="AJ126" s="38">
        <f>IF(AN126=0,L126,0)</f>
        <v>0</v>
      </c>
      <c r="AK126" s="38">
        <f>IF(AN126=12,L126,0)</f>
        <v>0</v>
      </c>
      <c r="AL126" s="38">
        <f>IF(AN126=21,L126,0)</f>
        <v>0</v>
      </c>
      <c r="AN126" s="38">
        <v>21</v>
      </c>
      <c r="AO126" s="38">
        <f>H126*0.3184225</f>
        <v>0</v>
      </c>
      <c r="AP126" s="38">
        <f>H126*(1-0.3184225)</f>
        <v>0</v>
      </c>
      <c r="AQ126" s="41" t="s">
        <v>84</v>
      </c>
      <c r="AV126" s="38">
        <f>ROUND(AW126+AX126,2)</f>
        <v>0</v>
      </c>
      <c r="AW126" s="38">
        <f>ROUND(G126*AO126,2)</f>
        <v>0</v>
      </c>
      <c r="AX126" s="38">
        <f>ROUND(G126*AP126,2)</f>
        <v>0</v>
      </c>
      <c r="AY126" s="41" t="s">
        <v>310</v>
      </c>
      <c r="AZ126" s="41" t="s">
        <v>280</v>
      </c>
      <c r="BA126" s="13" t="s">
        <v>62</v>
      </c>
      <c r="BC126" s="38">
        <f>AW126+AX126</f>
        <v>0</v>
      </c>
      <c r="BD126" s="38">
        <f>H126/(100-BE126)*100</f>
        <v>0</v>
      </c>
      <c r="BE126" s="38">
        <v>0</v>
      </c>
      <c r="BF126" s="38">
        <f>O126</f>
        <v>6.2E-4</v>
      </c>
      <c r="BH126" s="38">
        <f>G126*AO126</f>
        <v>0</v>
      </c>
      <c r="BI126" s="38">
        <f>G126*AP126</f>
        <v>0</v>
      </c>
      <c r="BJ126" s="38">
        <f>G126*H126</f>
        <v>0</v>
      </c>
      <c r="BK126" s="38"/>
      <c r="BL126" s="38">
        <v>722</v>
      </c>
      <c r="BW126" s="38">
        <f>I126</f>
        <v>21</v>
      </c>
      <c r="BX126" s="5" t="s">
        <v>297</v>
      </c>
    </row>
    <row r="127" spans="1:76" ht="13.5" customHeight="1" x14ac:dyDescent="0.25">
      <c r="A127" s="42"/>
      <c r="C127" s="43" t="s">
        <v>87</v>
      </c>
      <c r="D127" s="179" t="s">
        <v>298</v>
      </c>
      <c r="E127" s="180"/>
      <c r="F127" s="180"/>
      <c r="G127" s="180"/>
      <c r="H127" s="180"/>
      <c r="I127" s="180"/>
      <c r="J127" s="180"/>
      <c r="K127" s="180"/>
      <c r="L127" s="180"/>
      <c r="M127" s="180"/>
      <c r="N127" s="180"/>
      <c r="O127" s="180"/>
      <c r="P127" s="181"/>
    </row>
    <row r="128" spans="1:76" x14ac:dyDescent="0.25">
      <c r="A128" s="2" t="s">
        <v>330</v>
      </c>
      <c r="B128" s="3" t="s">
        <v>51</v>
      </c>
      <c r="C128" s="3" t="s">
        <v>331</v>
      </c>
      <c r="D128" s="113" t="s">
        <v>332</v>
      </c>
      <c r="E128" s="110"/>
      <c r="F128" s="3" t="s">
        <v>66</v>
      </c>
      <c r="G128" s="38">
        <v>14</v>
      </c>
      <c r="H128" s="103"/>
      <c r="I128" s="39">
        <v>21</v>
      </c>
      <c r="J128" s="38">
        <f>ROUND(G128*AO128,2)</f>
        <v>0</v>
      </c>
      <c r="K128" s="38">
        <f>ROUND(G128*AP128,2)</f>
        <v>0</v>
      </c>
      <c r="L128" s="38">
        <f>ROUND(G128*H128,2)</f>
        <v>0</v>
      </c>
      <c r="M128" s="38">
        <f>L128*(1+BW128/100)</f>
        <v>0</v>
      </c>
      <c r="N128" s="38">
        <v>1.7000000000000001E-4</v>
      </c>
      <c r="O128" s="38">
        <f>G128*N128</f>
        <v>2.3800000000000002E-3</v>
      </c>
      <c r="P128" s="40" t="s">
        <v>59</v>
      </c>
      <c r="Z128" s="38">
        <f>ROUND(IF(AQ128="5",BJ128,0),2)</f>
        <v>0</v>
      </c>
      <c r="AB128" s="38">
        <f>ROUND(IF(AQ128="1",BH128,0),2)</f>
        <v>0</v>
      </c>
      <c r="AC128" s="38">
        <f>ROUND(IF(AQ128="1",BI128,0),2)</f>
        <v>0</v>
      </c>
      <c r="AD128" s="38">
        <f>ROUND(IF(AQ128="7",BH128,0),2)</f>
        <v>0</v>
      </c>
      <c r="AE128" s="38">
        <f>ROUND(IF(AQ128="7",BI128,0),2)</f>
        <v>0</v>
      </c>
      <c r="AF128" s="38">
        <f>ROUND(IF(AQ128="2",BH128,0),2)</f>
        <v>0</v>
      </c>
      <c r="AG128" s="38">
        <f>ROUND(IF(AQ128="2",BI128,0),2)</f>
        <v>0</v>
      </c>
      <c r="AH128" s="38">
        <f>ROUND(IF(AQ128="0",BJ128,0),2)</f>
        <v>0</v>
      </c>
      <c r="AI128" s="13" t="s">
        <v>51</v>
      </c>
      <c r="AJ128" s="38">
        <f>IF(AN128=0,L128,0)</f>
        <v>0</v>
      </c>
      <c r="AK128" s="38">
        <f>IF(AN128=12,L128,0)</f>
        <v>0</v>
      </c>
      <c r="AL128" s="38">
        <f>IF(AN128=21,L128,0)</f>
        <v>0</v>
      </c>
      <c r="AN128" s="38">
        <v>21</v>
      </c>
      <c r="AO128" s="38">
        <f>H128*0.381235108</f>
        <v>0</v>
      </c>
      <c r="AP128" s="38">
        <f>H128*(1-0.381235108)</f>
        <v>0</v>
      </c>
      <c r="AQ128" s="41" t="s">
        <v>84</v>
      </c>
      <c r="AV128" s="38">
        <f>ROUND(AW128+AX128,2)</f>
        <v>0</v>
      </c>
      <c r="AW128" s="38">
        <f>ROUND(G128*AO128,2)</f>
        <v>0</v>
      </c>
      <c r="AX128" s="38">
        <f>ROUND(G128*AP128,2)</f>
        <v>0</v>
      </c>
      <c r="AY128" s="41" t="s">
        <v>310</v>
      </c>
      <c r="AZ128" s="41" t="s">
        <v>280</v>
      </c>
      <c r="BA128" s="13" t="s">
        <v>62</v>
      </c>
      <c r="BC128" s="38">
        <f>AW128+AX128</f>
        <v>0</v>
      </c>
      <c r="BD128" s="38">
        <f>H128/(100-BE128)*100</f>
        <v>0</v>
      </c>
      <c r="BE128" s="38">
        <v>0</v>
      </c>
      <c r="BF128" s="38">
        <f>O128</f>
        <v>2.3800000000000002E-3</v>
      </c>
      <c r="BH128" s="38">
        <f>G128*AO128</f>
        <v>0</v>
      </c>
      <c r="BI128" s="38">
        <f>G128*AP128</f>
        <v>0</v>
      </c>
      <c r="BJ128" s="38">
        <f>G128*H128</f>
        <v>0</v>
      </c>
      <c r="BK128" s="38"/>
      <c r="BL128" s="38">
        <v>722</v>
      </c>
      <c r="BW128" s="38">
        <f>I128</f>
        <v>21</v>
      </c>
      <c r="BX128" s="5" t="s">
        <v>332</v>
      </c>
    </row>
    <row r="129" spans="1:76" x14ac:dyDescent="0.25">
      <c r="A129" s="2" t="s">
        <v>333</v>
      </c>
      <c r="B129" s="3" t="s">
        <v>51</v>
      </c>
      <c r="C129" s="3" t="s">
        <v>334</v>
      </c>
      <c r="D129" s="113" t="s">
        <v>335</v>
      </c>
      <c r="E129" s="110"/>
      <c r="F129" s="3" t="s">
        <v>134</v>
      </c>
      <c r="G129" s="38">
        <v>8.7520000000000001E-2</v>
      </c>
      <c r="H129" s="103"/>
      <c r="I129" s="39">
        <v>21</v>
      </c>
      <c r="J129" s="38">
        <f>ROUND(G129*AO129,2)</f>
        <v>0</v>
      </c>
      <c r="K129" s="38">
        <f>ROUND(G129*AP129,2)</f>
        <v>0</v>
      </c>
      <c r="L129" s="38">
        <f>ROUND(G129*H129,2)</f>
        <v>0</v>
      </c>
      <c r="M129" s="38">
        <f>L129*(1+BW129/100)</f>
        <v>0</v>
      </c>
      <c r="N129" s="38">
        <v>0</v>
      </c>
      <c r="O129" s="38">
        <f>G129*N129</f>
        <v>0</v>
      </c>
      <c r="P129" s="40" t="s">
        <v>59</v>
      </c>
      <c r="Z129" s="38">
        <f>ROUND(IF(AQ129="5",BJ129,0),2)</f>
        <v>0</v>
      </c>
      <c r="AB129" s="38">
        <f>ROUND(IF(AQ129="1",BH129,0),2)</f>
        <v>0</v>
      </c>
      <c r="AC129" s="38">
        <f>ROUND(IF(AQ129="1",BI129,0),2)</f>
        <v>0</v>
      </c>
      <c r="AD129" s="38">
        <f>ROUND(IF(AQ129="7",BH129,0),2)</f>
        <v>0</v>
      </c>
      <c r="AE129" s="38">
        <f>ROUND(IF(AQ129="7",BI129,0),2)</f>
        <v>0</v>
      </c>
      <c r="AF129" s="38">
        <f>ROUND(IF(AQ129="2",BH129,0),2)</f>
        <v>0</v>
      </c>
      <c r="AG129" s="38">
        <f>ROUND(IF(AQ129="2",BI129,0),2)</f>
        <v>0</v>
      </c>
      <c r="AH129" s="38">
        <f>ROUND(IF(AQ129="0",BJ129,0),2)</f>
        <v>0</v>
      </c>
      <c r="AI129" s="13" t="s">
        <v>51</v>
      </c>
      <c r="AJ129" s="38">
        <f>IF(AN129=0,L129,0)</f>
        <v>0</v>
      </c>
      <c r="AK129" s="38">
        <f>IF(AN129=12,L129,0)</f>
        <v>0</v>
      </c>
      <c r="AL129" s="38">
        <f>IF(AN129=21,L129,0)</f>
        <v>0</v>
      </c>
      <c r="AN129" s="38">
        <v>21</v>
      </c>
      <c r="AO129" s="38">
        <f>H129*0</f>
        <v>0</v>
      </c>
      <c r="AP129" s="38">
        <f>H129*(1-0)</f>
        <v>0</v>
      </c>
      <c r="AQ129" s="41" t="s">
        <v>77</v>
      </c>
      <c r="AV129" s="38">
        <f>ROUND(AW129+AX129,2)</f>
        <v>0</v>
      </c>
      <c r="AW129" s="38">
        <f>ROUND(G129*AO129,2)</f>
        <v>0</v>
      </c>
      <c r="AX129" s="38">
        <f>ROUND(G129*AP129,2)</f>
        <v>0</v>
      </c>
      <c r="AY129" s="41" t="s">
        <v>310</v>
      </c>
      <c r="AZ129" s="41" t="s">
        <v>280</v>
      </c>
      <c r="BA129" s="13" t="s">
        <v>62</v>
      </c>
      <c r="BC129" s="38">
        <f>AW129+AX129</f>
        <v>0</v>
      </c>
      <c r="BD129" s="38">
        <f>H129/(100-BE129)*100</f>
        <v>0</v>
      </c>
      <c r="BE129" s="38">
        <v>0</v>
      </c>
      <c r="BF129" s="38">
        <f>O129</f>
        <v>0</v>
      </c>
      <c r="BH129" s="38">
        <f>G129*AO129</f>
        <v>0</v>
      </c>
      <c r="BI129" s="38">
        <f>G129*AP129</f>
        <v>0</v>
      </c>
      <c r="BJ129" s="38">
        <f>G129*H129</f>
        <v>0</v>
      </c>
      <c r="BK129" s="38"/>
      <c r="BL129" s="38">
        <v>722</v>
      </c>
      <c r="BW129" s="38">
        <f>I129</f>
        <v>21</v>
      </c>
      <c r="BX129" s="5" t="s">
        <v>335</v>
      </c>
    </row>
    <row r="130" spans="1:76" x14ac:dyDescent="0.25">
      <c r="A130" s="33" t="s">
        <v>50</v>
      </c>
      <c r="B130" s="34" t="s">
        <v>51</v>
      </c>
      <c r="C130" s="34" t="s">
        <v>336</v>
      </c>
      <c r="D130" s="191" t="s">
        <v>337</v>
      </c>
      <c r="E130" s="192"/>
      <c r="F130" s="36" t="s">
        <v>4</v>
      </c>
      <c r="G130" s="36" t="s">
        <v>4</v>
      </c>
      <c r="H130" s="36" t="s">
        <v>4</v>
      </c>
      <c r="I130" s="36" t="s">
        <v>4</v>
      </c>
      <c r="J130" s="1">
        <f>SUM(J131:J169)</f>
        <v>0</v>
      </c>
      <c r="K130" s="1">
        <f>SUM(K131:K169)</f>
        <v>0</v>
      </c>
      <c r="L130" s="1">
        <f>SUM(L131:L169)</f>
        <v>0</v>
      </c>
      <c r="M130" s="1">
        <f>SUM(M131:M169)</f>
        <v>0</v>
      </c>
      <c r="N130" s="13" t="s">
        <v>50</v>
      </c>
      <c r="O130" s="1">
        <f>SUM(O131:O169)</f>
        <v>0.40906000000000009</v>
      </c>
      <c r="P130" s="37" t="s">
        <v>50</v>
      </c>
      <c r="AI130" s="13" t="s">
        <v>51</v>
      </c>
      <c r="AS130" s="1">
        <f>SUM(AJ131:AJ169)</f>
        <v>0</v>
      </c>
      <c r="AT130" s="1">
        <f>SUM(AK131:AK169)</f>
        <v>0</v>
      </c>
      <c r="AU130" s="1">
        <f>SUM(AL131:AL169)</f>
        <v>0</v>
      </c>
    </row>
    <row r="131" spans="1:76" x14ac:dyDescent="0.25">
      <c r="A131" s="2" t="s">
        <v>338</v>
      </c>
      <c r="B131" s="3" t="s">
        <v>51</v>
      </c>
      <c r="C131" s="3" t="s">
        <v>339</v>
      </c>
      <c r="D131" s="113" t="s">
        <v>340</v>
      </c>
      <c r="E131" s="110"/>
      <c r="F131" s="3" t="s">
        <v>66</v>
      </c>
      <c r="G131" s="38">
        <v>2</v>
      </c>
      <c r="H131" s="103"/>
      <c r="I131" s="39">
        <v>21</v>
      </c>
      <c r="J131" s="38">
        <f>ROUND(G131*AO131,2)</f>
        <v>0</v>
      </c>
      <c r="K131" s="38">
        <f>ROUND(G131*AP131,2)</f>
        <v>0</v>
      </c>
      <c r="L131" s="38">
        <f>ROUND(G131*H131,2)</f>
        <v>0</v>
      </c>
      <c r="M131" s="38">
        <f>L131*(1+BW131/100)</f>
        <v>0</v>
      </c>
      <c r="N131" s="38">
        <v>1.4999999999999999E-2</v>
      </c>
      <c r="O131" s="38">
        <f>G131*N131</f>
        <v>0.03</v>
      </c>
      <c r="P131" s="40" t="s">
        <v>114</v>
      </c>
      <c r="Z131" s="38">
        <f>ROUND(IF(AQ131="5",BJ131,0),2)</f>
        <v>0</v>
      </c>
      <c r="AB131" s="38">
        <f>ROUND(IF(AQ131="1",BH131,0),2)</f>
        <v>0</v>
      </c>
      <c r="AC131" s="38">
        <f>ROUND(IF(AQ131="1",BI131,0),2)</f>
        <v>0</v>
      </c>
      <c r="AD131" s="38">
        <f>ROUND(IF(AQ131="7",BH131,0),2)</f>
        <v>0</v>
      </c>
      <c r="AE131" s="38">
        <f>ROUND(IF(AQ131="7",BI131,0),2)</f>
        <v>0</v>
      </c>
      <c r="AF131" s="38">
        <f>ROUND(IF(AQ131="2",BH131,0),2)</f>
        <v>0</v>
      </c>
      <c r="AG131" s="38">
        <f>ROUND(IF(AQ131="2",BI131,0),2)</f>
        <v>0</v>
      </c>
      <c r="AH131" s="38">
        <f>ROUND(IF(AQ131="0",BJ131,0),2)</f>
        <v>0</v>
      </c>
      <c r="AI131" s="13" t="s">
        <v>51</v>
      </c>
      <c r="AJ131" s="38">
        <f>IF(AN131=0,L131,0)</f>
        <v>0</v>
      </c>
      <c r="AK131" s="38">
        <f>IF(AN131=12,L131,0)</f>
        <v>0</v>
      </c>
      <c r="AL131" s="38">
        <f>IF(AN131=21,L131,0)</f>
        <v>0</v>
      </c>
      <c r="AN131" s="38">
        <v>21</v>
      </c>
      <c r="AO131" s="38">
        <f>H131*1</f>
        <v>0</v>
      </c>
      <c r="AP131" s="38">
        <f>H131*(1-1)</f>
        <v>0</v>
      </c>
      <c r="AQ131" s="41" t="s">
        <v>84</v>
      </c>
      <c r="AV131" s="38">
        <f>ROUND(AW131+AX131,2)</f>
        <v>0</v>
      </c>
      <c r="AW131" s="38">
        <f>ROUND(G131*AO131,2)</f>
        <v>0</v>
      </c>
      <c r="AX131" s="38">
        <f>ROUND(G131*AP131,2)</f>
        <v>0</v>
      </c>
      <c r="AY131" s="41" t="s">
        <v>341</v>
      </c>
      <c r="AZ131" s="41" t="s">
        <v>280</v>
      </c>
      <c r="BA131" s="13" t="s">
        <v>62</v>
      </c>
      <c r="BC131" s="38">
        <f>AW131+AX131</f>
        <v>0</v>
      </c>
      <c r="BD131" s="38">
        <f>H131/(100-BE131)*100</f>
        <v>0</v>
      </c>
      <c r="BE131" s="38">
        <v>0</v>
      </c>
      <c r="BF131" s="38">
        <f>O131</f>
        <v>0.03</v>
      </c>
      <c r="BH131" s="38">
        <f>G131*AO131</f>
        <v>0</v>
      </c>
      <c r="BI131" s="38">
        <f>G131*AP131</f>
        <v>0</v>
      </c>
      <c r="BJ131" s="38">
        <f>G131*H131</f>
        <v>0</v>
      </c>
      <c r="BK131" s="38"/>
      <c r="BL131" s="38">
        <v>725</v>
      </c>
      <c r="BW131" s="38">
        <f>I131</f>
        <v>21</v>
      </c>
      <c r="BX131" s="5" t="s">
        <v>340</v>
      </c>
    </row>
    <row r="132" spans="1:76" x14ac:dyDescent="0.25">
      <c r="A132" s="42"/>
      <c r="C132" s="43" t="s">
        <v>67</v>
      </c>
      <c r="D132" s="179" t="s">
        <v>171</v>
      </c>
      <c r="E132" s="180"/>
      <c r="F132" s="180"/>
      <c r="G132" s="180"/>
      <c r="H132" s="180"/>
      <c r="I132" s="180"/>
      <c r="J132" s="180"/>
      <c r="K132" s="180"/>
      <c r="L132" s="180"/>
      <c r="M132" s="180"/>
      <c r="N132" s="180"/>
      <c r="O132" s="180"/>
      <c r="P132" s="181"/>
      <c r="BX132" s="44" t="s">
        <v>171</v>
      </c>
    </row>
    <row r="133" spans="1:76" x14ac:dyDescent="0.25">
      <c r="A133" s="2" t="s">
        <v>342</v>
      </c>
      <c r="B133" s="3" t="s">
        <v>51</v>
      </c>
      <c r="C133" s="3" t="s">
        <v>343</v>
      </c>
      <c r="D133" s="113" t="s">
        <v>344</v>
      </c>
      <c r="E133" s="110"/>
      <c r="F133" s="3" t="s">
        <v>66</v>
      </c>
      <c r="G133" s="38">
        <v>2</v>
      </c>
      <c r="H133" s="103"/>
      <c r="I133" s="39">
        <v>21</v>
      </c>
      <c r="J133" s="38">
        <f>ROUND(G133*AO133,2)</f>
        <v>0</v>
      </c>
      <c r="K133" s="38">
        <f>ROUND(G133*AP133,2)</f>
        <v>0</v>
      </c>
      <c r="L133" s="38">
        <f>ROUND(G133*H133,2)</f>
        <v>0</v>
      </c>
      <c r="M133" s="38">
        <f>L133*(1+BW133/100)</f>
        <v>0</v>
      </c>
      <c r="N133" s="38">
        <v>1.4999999999999999E-2</v>
      </c>
      <c r="O133" s="38">
        <f>G133*N133</f>
        <v>0.03</v>
      </c>
      <c r="P133" s="40" t="s">
        <v>114</v>
      </c>
      <c r="Z133" s="38">
        <f>ROUND(IF(AQ133="5",BJ133,0),2)</f>
        <v>0</v>
      </c>
      <c r="AB133" s="38">
        <f>ROUND(IF(AQ133="1",BH133,0),2)</f>
        <v>0</v>
      </c>
      <c r="AC133" s="38">
        <f>ROUND(IF(AQ133="1",BI133,0),2)</f>
        <v>0</v>
      </c>
      <c r="AD133" s="38">
        <f>ROUND(IF(AQ133="7",BH133,0),2)</f>
        <v>0</v>
      </c>
      <c r="AE133" s="38">
        <f>ROUND(IF(AQ133="7",BI133,0),2)</f>
        <v>0</v>
      </c>
      <c r="AF133" s="38">
        <f>ROUND(IF(AQ133="2",BH133,0),2)</f>
        <v>0</v>
      </c>
      <c r="AG133" s="38">
        <f>ROUND(IF(AQ133="2",BI133,0),2)</f>
        <v>0</v>
      </c>
      <c r="AH133" s="38">
        <f>ROUND(IF(AQ133="0",BJ133,0),2)</f>
        <v>0</v>
      </c>
      <c r="AI133" s="13" t="s">
        <v>51</v>
      </c>
      <c r="AJ133" s="38">
        <f>IF(AN133=0,L133,0)</f>
        <v>0</v>
      </c>
      <c r="AK133" s="38">
        <f>IF(AN133=12,L133,0)</f>
        <v>0</v>
      </c>
      <c r="AL133" s="38">
        <f>IF(AN133=21,L133,0)</f>
        <v>0</v>
      </c>
      <c r="AN133" s="38">
        <v>21</v>
      </c>
      <c r="AO133" s="38">
        <f>H133*1</f>
        <v>0</v>
      </c>
      <c r="AP133" s="38">
        <f>H133*(1-1)</f>
        <v>0</v>
      </c>
      <c r="AQ133" s="41" t="s">
        <v>84</v>
      </c>
      <c r="AV133" s="38">
        <f>ROUND(AW133+AX133,2)</f>
        <v>0</v>
      </c>
      <c r="AW133" s="38">
        <f>ROUND(G133*AO133,2)</f>
        <v>0</v>
      </c>
      <c r="AX133" s="38">
        <f>ROUND(G133*AP133,2)</f>
        <v>0</v>
      </c>
      <c r="AY133" s="41" t="s">
        <v>341</v>
      </c>
      <c r="AZ133" s="41" t="s">
        <v>280</v>
      </c>
      <c r="BA133" s="13" t="s">
        <v>62</v>
      </c>
      <c r="BC133" s="38">
        <f>AW133+AX133</f>
        <v>0</v>
      </c>
      <c r="BD133" s="38">
        <f>H133/(100-BE133)*100</f>
        <v>0</v>
      </c>
      <c r="BE133" s="38">
        <v>0</v>
      </c>
      <c r="BF133" s="38">
        <f>O133</f>
        <v>0.03</v>
      </c>
      <c r="BH133" s="38">
        <f>G133*AO133</f>
        <v>0</v>
      </c>
      <c r="BI133" s="38">
        <f>G133*AP133</f>
        <v>0</v>
      </c>
      <c r="BJ133" s="38">
        <f>G133*H133</f>
        <v>0</v>
      </c>
      <c r="BK133" s="38"/>
      <c r="BL133" s="38">
        <v>725</v>
      </c>
      <c r="BW133" s="38">
        <f>I133</f>
        <v>21</v>
      </c>
      <c r="BX133" s="5" t="s">
        <v>344</v>
      </c>
    </row>
    <row r="134" spans="1:76" x14ac:dyDescent="0.25">
      <c r="A134" s="42"/>
      <c r="C134" s="43" t="s">
        <v>67</v>
      </c>
      <c r="D134" s="179" t="s">
        <v>171</v>
      </c>
      <c r="E134" s="180"/>
      <c r="F134" s="180"/>
      <c r="G134" s="180"/>
      <c r="H134" s="180"/>
      <c r="I134" s="180"/>
      <c r="J134" s="180"/>
      <c r="K134" s="180"/>
      <c r="L134" s="180"/>
      <c r="M134" s="180"/>
      <c r="N134" s="180"/>
      <c r="O134" s="180"/>
      <c r="P134" s="181"/>
      <c r="BX134" s="44" t="s">
        <v>171</v>
      </c>
    </row>
    <row r="135" spans="1:76" x14ac:dyDescent="0.25">
      <c r="A135" s="2" t="s">
        <v>345</v>
      </c>
      <c r="B135" s="3" t="s">
        <v>51</v>
      </c>
      <c r="C135" s="3" t="s">
        <v>346</v>
      </c>
      <c r="D135" s="113" t="s">
        <v>347</v>
      </c>
      <c r="E135" s="110"/>
      <c r="F135" s="3" t="s">
        <v>66</v>
      </c>
      <c r="G135" s="38">
        <v>2</v>
      </c>
      <c r="H135" s="103"/>
      <c r="I135" s="39">
        <v>21</v>
      </c>
      <c r="J135" s="38">
        <f>ROUND(G135*AO135,2)</f>
        <v>0</v>
      </c>
      <c r="K135" s="38">
        <f>ROUND(G135*AP135,2)</f>
        <v>0</v>
      </c>
      <c r="L135" s="38">
        <f>ROUND(G135*H135,2)</f>
        <v>0</v>
      </c>
      <c r="M135" s="38">
        <f>L135*(1+BW135/100)</f>
        <v>0</v>
      </c>
      <c r="N135" s="38">
        <v>3.0000000000000001E-3</v>
      </c>
      <c r="O135" s="38">
        <f>G135*N135</f>
        <v>6.0000000000000001E-3</v>
      </c>
      <c r="P135" s="40" t="s">
        <v>114</v>
      </c>
      <c r="Z135" s="38">
        <f>ROUND(IF(AQ135="5",BJ135,0),2)</f>
        <v>0</v>
      </c>
      <c r="AB135" s="38">
        <f>ROUND(IF(AQ135="1",BH135,0),2)</f>
        <v>0</v>
      </c>
      <c r="AC135" s="38">
        <f>ROUND(IF(AQ135="1",BI135,0),2)</f>
        <v>0</v>
      </c>
      <c r="AD135" s="38">
        <f>ROUND(IF(AQ135="7",BH135,0),2)</f>
        <v>0</v>
      </c>
      <c r="AE135" s="38">
        <f>ROUND(IF(AQ135="7",BI135,0),2)</f>
        <v>0</v>
      </c>
      <c r="AF135" s="38">
        <f>ROUND(IF(AQ135="2",BH135,0),2)</f>
        <v>0</v>
      </c>
      <c r="AG135" s="38">
        <f>ROUND(IF(AQ135="2",BI135,0),2)</f>
        <v>0</v>
      </c>
      <c r="AH135" s="38">
        <f>ROUND(IF(AQ135="0",BJ135,0),2)</f>
        <v>0</v>
      </c>
      <c r="AI135" s="13" t="s">
        <v>51</v>
      </c>
      <c r="AJ135" s="38">
        <f>IF(AN135=0,L135,0)</f>
        <v>0</v>
      </c>
      <c r="AK135" s="38">
        <f>IF(AN135=12,L135,0)</f>
        <v>0</v>
      </c>
      <c r="AL135" s="38">
        <f>IF(AN135=21,L135,0)</f>
        <v>0</v>
      </c>
      <c r="AN135" s="38">
        <v>21</v>
      </c>
      <c r="AO135" s="38">
        <f>H135*1</f>
        <v>0</v>
      </c>
      <c r="AP135" s="38">
        <f>H135*(1-1)</f>
        <v>0</v>
      </c>
      <c r="AQ135" s="41" t="s">
        <v>84</v>
      </c>
      <c r="AV135" s="38">
        <f>ROUND(AW135+AX135,2)</f>
        <v>0</v>
      </c>
      <c r="AW135" s="38">
        <f>ROUND(G135*AO135,2)</f>
        <v>0</v>
      </c>
      <c r="AX135" s="38">
        <f>ROUND(G135*AP135,2)</f>
        <v>0</v>
      </c>
      <c r="AY135" s="41" t="s">
        <v>341</v>
      </c>
      <c r="AZ135" s="41" t="s">
        <v>280</v>
      </c>
      <c r="BA135" s="13" t="s">
        <v>62</v>
      </c>
      <c r="BC135" s="38">
        <f>AW135+AX135</f>
        <v>0</v>
      </c>
      <c r="BD135" s="38">
        <f>H135/(100-BE135)*100</f>
        <v>0</v>
      </c>
      <c r="BE135" s="38">
        <v>0</v>
      </c>
      <c r="BF135" s="38">
        <f>O135</f>
        <v>6.0000000000000001E-3</v>
      </c>
      <c r="BH135" s="38">
        <f>G135*AO135</f>
        <v>0</v>
      </c>
      <c r="BI135" s="38">
        <f>G135*AP135</f>
        <v>0</v>
      </c>
      <c r="BJ135" s="38">
        <f>G135*H135</f>
        <v>0</v>
      </c>
      <c r="BK135" s="38"/>
      <c r="BL135" s="38">
        <v>725</v>
      </c>
      <c r="BW135" s="38">
        <f>I135</f>
        <v>21</v>
      </c>
      <c r="BX135" s="5" t="s">
        <v>347</v>
      </c>
    </row>
    <row r="136" spans="1:76" x14ac:dyDescent="0.25">
      <c r="A136" s="42"/>
      <c r="C136" s="43" t="s">
        <v>67</v>
      </c>
      <c r="D136" s="179" t="s">
        <v>171</v>
      </c>
      <c r="E136" s="180"/>
      <c r="F136" s="180"/>
      <c r="G136" s="180"/>
      <c r="H136" s="180"/>
      <c r="I136" s="180"/>
      <c r="J136" s="180"/>
      <c r="K136" s="180"/>
      <c r="L136" s="180"/>
      <c r="M136" s="180"/>
      <c r="N136" s="180"/>
      <c r="O136" s="180"/>
      <c r="P136" s="181"/>
      <c r="BX136" s="44" t="s">
        <v>171</v>
      </c>
    </row>
    <row r="137" spans="1:76" x14ac:dyDescent="0.25">
      <c r="A137" s="2" t="s">
        <v>348</v>
      </c>
      <c r="B137" s="3" t="s">
        <v>51</v>
      </c>
      <c r="C137" s="3" t="s">
        <v>349</v>
      </c>
      <c r="D137" s="113" t="s">
        <v>350</v>
      </c>
      <c r="E137" s="110"/>
      <c r="F137" s="3" t="s">
        <v>66</v>
      </c>
      <c r="G137" s="38">
        <v>2</v>
      </c>
      <c r="H137" s="103"/>
      <c r="I137" s="39">
        <v>21</v>
      </c>
      <c r="J137" s="38">
        <f>ROUND(G137*AO137,2)</f>
        <v>0</v>
      </c>
      <c r="K137" s="38">
        <f>ROUND(G137*AP137,2)</f>
        <v>0</v>
      </c>
      <c r="L137" s="38">
        <f>ROUND(G137*H137,2)</f>
        <v>0</v>
      </c>
      <c r="M137" s="38">
        <f>L137*(1+BW137/100)</f>
        <v>0</v>
      </c>
      <c r="N137" s="38">
        <v>0.03</v>
      </c>
      <c r="O137" s="38">
        <f>G137*N137</f>
        <v>0.06</v>
      </c>
      <c r="P137" s="40" t="s">
        <v>114</v>
      </c>
      <c r="Z137" s="38">
        <f>ROUND(IF(AQ137="5",BJ137,0),2)</f>
        <v>0</v>
      </c>
      <c r="AB137" s="38">
        <f>ROUND(IF(AQ137="1",BH137,0),2)</f>
        <v>0</v>
      </c>
      <c r="AC137" s="38">
        <f>ROUND(IF(AQ137="1",BI137,0),2)</f>
        <v>0</v>
      </c>
      <c r="AD137" s="38">
        <f>ROUND(IF(AQ137="7",BH137,0),2)</f>
        <v>0</v>
      </c>
      <c r="AE137" s="38">
        <f>ROUND(IF(AQ137="7",BI137,0),2)</f>
        <v>0</v>
      </c>
      <c r="AF137" s="38">
        <f>ROUND(IF(AQ137="2",BH137,0),2)</f>
        <v>0</v>
      </c>
      <c r="AG137" s="38">
        <f>ROUND(IF(AQ137="2",BI137,0),2)</f>
        <v>0</v>
      </c>
      <c r="AH137" s="38">
        <f>ROUND(IF(AQ137="0",BJ137,0),2)</f>
        <v>0</v>
      </c>
      <c r="AI137" s="13" t="s">
        <v>51</v>
      </c>
      <c r="AJ137" s="38">
        <f>IF(AN137=0,L137,0)</f>
        <v>0</v>
      </c>
      <c r="AK137" s="38">
        <f>IF(AN137=12,L137,0)</f>
        <v>0</v>
      </c>
      <c r="AL137" s="38">
        <f>IF(AN137=21,L137,0)</f>
        <v>0</v>
      </c>
      <c r="AN137" s="38">
        <v>21</v>
      </c>
      <c r="AO137" s="38">
        <f>H137*1</f>
        <v>0</v>
      </c>
      <c r="AP137" s="38">
        <f>H137*(1-1)</f>
        <v>0</v>
      </c>
      <c r="AQ137" s="41" t="s">
        <v>84</v>
      </c>
      <c r="AV137" s="38">
        <f>ROUND(AW137+AX137,2)</f>
        <v>0</v>
      </c>
      <c r="AW137" s="38">
        <f>ROUND(G137*AO137,2)</f>
        <v>0</v>
      </c>
      <c r="AX137" s="38">
        <f>ROUND(G137*AP137,2)</f>
        <v>0</v>
      </c>
      <c r="AY137" s="41" t="s">
        <v>341</v>
      </c>
      <c r="AZ137" s="41" t="s">
        <v>280</v>
      </c>
      <c r="BA137" s="13" t="s">
        <v>62</v>
      </c>
      <c r="BC137" s="38">
        <f>AW137+AX137</f>
        <v>0</v>
      </c>
      <c r="BD137" s="38">
        <f>H137/(100-BE137)*100</f>
        <v>0</v>
      </c>
      <c r="BE137" s="38">
        <v>0</v>
      </c>
      <c r="BF137" s="38">
        <f>O137</f>
        <v>0.06</v>
      </c>
      <c r="BH137" s="38">
        <f>G137*AO137</f>
        <v>0</v>
      </c>
      <c r="BI137" s="38">
        <f>G137*AP137</f>
        <v>0</v>
      </c>
      <c r="BJ137" s="38">
        <f>G137*H137</f>
        <v>0</v>
      </c>
      <c r="BK137" s="38"/>
      <c r="BL137" s="38">
        <v>725</v>
      </c>
      <c r="BW137" s="38">
        <f>I137</f>
        <v>21</v>
      </c>
      <c r="BX137" s="5" t="s">
        <v>350</v>
      </c>
    </row>
    <row r="138" spans="1:76" x14ac:dyDescent="0.25">
      <c r="A138" s="42"/>
      <c r="C138" s="43" t="s">
        <v>67</v>
      </c>
      <c r="D138" s="179" t="s">
        <v>171</v>
      </c>
      <c r="E138" s="180"/>
      <c r="F138" s="180"/>
      <c r="G138" s="180"/>
      <c r="H138" s="180"/>
      <c r="I138" s="180"/>
      <c r="J138" s="180"/>
      <c r="K138" s="180"/>
      <c r="L138" s="180"/>
      <c r="M138" s="180"/>
      <c r="N138" s="180"/>
      <c r="O138" s="180"/>
      <c r="P138" s="181"/>
      <c r="BX138" s="44" t="s">
        <v>171</v>
      </c>
    </row>
    <row r="139" spans="1:76" x14ac:dyDescent="0.25">
      <c r="A139" s="2" t="s">
        <v>351</v>
      </c>
      <c r="B139" s="3" t="s">
        <v>51</v>
      </c>
      <c r="C139" s="3" t="s">
        <v>352</v>
      </c>
      <c r="D139" s="113" t="s">
        <v>353</v>
      </c>
      <c r="E139" s="110"/>
      <c r="F139" s="3" t="s">
        <v>66</v>
      </c>
      <c r="G139" s="38">
        <v>2</v>
      </c>
      <c r="H139" s="103"/>
      <c r="I139" s="39">
        <v>21</v>
      </c>
      <c r="J139" s="38">
        <f>ROUND(G139*AO139,2)</f>
        <v>0</v>
      </c>
      <c r="K139" s="38">
        <f>ROUND(G139*AP139,2)</f>
        <v>0</v>
      </c>
      <c r="L139" s="38">
        <f>ROUND(G139*H139,2)</f>
        <v>0</v>
      </c>
      <c r="M139" s="38">
        <f>L139*(1+BW139/100)</f>
        <v>0</v>
      </c>
      <c r="N139" s="38">
        <v>1E-3</v>
      </c>
      <c r="O139" s="38">
        <f>G139*N139</f>
        <v>2E-3</v>
      </c>
      <c r="P139" s="40" t="s">
        <v>114</v>
      </c>
      <c r="Z139" s="38">
        <f>ROUND(IF(AQ139="5",BJ139,0),2)</f>
        <v>0</v>
      </c>
      <c r="AB139" s="38">
        <f>ROUND(IF(AQ139="1",BH139,0),2)</f>
        <v>0</v>
      </c>
      <c r="AC139" s="38">
        <f>ROUND(IF(AQ139="1",BI139,0),2)</f>
        <v>0</v>
      </c>
      <c r="AD139" s="38">
        <f>ROUND(IF(AQ139="7",BH139,0),2)</f>
        <v>0</v>
      </c>
      <c r="AE139" s="38">
        <f>ROUND(IF(AQ139="7",BI139,0),2)</f>
        <v>0</v>
      </c>
      <c r="AF139" s="38">
        <f>ROUND(IF(AQ139="2",BH139,0),2)</f>
        <v>0</v>
      </c>
      <c r="AG139" s="38">
        <f>ROUND(IF(AQ139="2",BI139,0),2)</f>
        <v>0</v>
      </c>
      <c r="AH139" s="38">
        <f>ROUND(IF(AQ139="0",BJ139,0),2)</f>
        <v>0</v>
      </c>
      <c r="AI139" s="13" t="s">
        <v>51</v>
      </c>
      <c r="AJ139" s="38">
        <f>IF(AN139=0,L139,0)</f>
        <v>0</v>
      </c>
      <c r="AK139" s="38">
        <f>IF(AN139=12,L139,0)</f>
        <v>0</v>
      </c>
      <c r="AL139" s="38">
        <f>IF(AN139=21,L139,0)</f>
        <v>0</v>
      </c>
      <c r="AN139" s="38">
        <v>21</v>
      </c>
      <c r="AO139" s="38">
        <f>H139*1</f>
        <v>0</v>
      </c>
      <c r="AP139" s="38">
        <f>H139*(1-1)</f>
        <v>0</v>
      </c>
      <c r="AQ139" s="41" t="s">
        <v>84</v>
      </c>
      <c r="AV139" s="38">
        <f>ROUND(AW139+AX139,2)</f>
        <v>0</v>
      </c>
      <c r="AW139" s="38">
        <f>ROUND(G139*AO139,2)</f>
        <v>0</v>
      </c>
      <c r="AX139" s="38">
        <f>ROUND(G139*AP139,2)</f>
        <v>0</v>
      </c>
      <c r="AY139" s="41" t="s">
        <v>341</v>
      </c>
      <c r="AZ139" s="41" t="s">
        <v>280</v>
      </c>
      <c r="BA139" s="13" t="s">
        <v>62</v>
      </c>
      <c r="BC139" s="38">
        <f>AW139+AX139</f>
        <v>0</v>
      </c>
      <c r="BD139" s="38">
        <f>H139/(100-BE139)*100</f>
        <v>0</v>
      </c>
      <c r="BE139" s="38">
        <v>0</v>
      </c>
      <c r="BF139" s="38">
        <f>O139</f>
        <v>2E-3</v>
      </c>
      <c r="BH139" s="38">
        <f>G139*AO139</f>
        <v>0</v>
      </c>
      <c r="BI139" s="38">
        <f>G139*AP139</f>
        <v>0</v>
      </c>
      <c r="BJ139" s="38">
        <f>G139*H139</f>
        <v>0</v>
      </c>
      <c r="BK139" s="38"/>
      <c r="BL139" s="38">
        <v>725</v>
      </c>
      <c r="BW139" s="38">
        <f>I139</f>
        <v>21</v>
      </c>
      <c r="BX139" s="5" t="s">
        <v>353</v>
      </c>
    </row>
    <row r="140" spans="1:76" x14ac:dyDescent="0.25">
      <c r="A140" s="42"/>
      <c r="C140" s="43" t="s">
        <v>67</v>
      </c>
      <c r="D140" s="179" t="s">
        <v>171</v>
      </c>
      <c r="E140" s="180"/>
      <c r="F140" s="180"/>
      <c r="G140" s="180"/>
      <c r="H140" s="180"/>
      <c r="I140" s="180"/>
      <c r="J140" s="180"/>
      <c r="K140" s="180"/>
      <c r="L140" s="180"/>
      <c r="M140" s="180"/>
      <c r="N140" s="180"/>
      <c r="O140" s="180"/>
      <c r="P140" s="181"/>
      <c r="BX140" s="44" t="s">
        <v>171</v>
      </c>
    </row>
    <row r="141" spans="1:76" x14ac:dyDescent="0.25">
      <c r="A141" s="2" t="s">
        <v>354</v>
      </c>
      <c r="B141" s="3" t="s">
        <v>51</v>
      </c>
      <c r="C141" s="3" t="s">
        <v>355</v>
      </c>
      <c r="D141" s="113" t="s">
        <v>356</v>
      </c>
      <c r="E141" s="110"/>
      <c r="F141" s="3" t="s">
        <v>118</v>
      </c>
      <c r="G141" s="38">
        <v>2</v>
      </c>
      <c r="H141" s="103"/>
      <c r="I141" s="39">
        <v>21</v>
      </c>
      <c r="J141" s="38">
        <f>ROUND(G141*AO141,2)</f>
        <v>0</v>
      </c>
      <c r="K141" s="38">
        <f>ROUND(G141*AP141,2)</f>
        <v>0</v>
      </c>
      <c r="L141" s="38">
        <f>ROUND(G141*H141,2)</f>
        <v>0</v>
      </c>
      <c r="M141" s="38">
        <f>L141*(1+BW141/100)</f>
        <v>0</v>
      </c>
      <c r="N141" s="38">
        <v>1.2999999999999999E-3</v>
      </c>
      <c r="O141" s="38">
        <f>G141*N141</f>
        <v>2.5999999999999999E-3</v>
      </c>
      <c r="P141" s="40" t="s">
        <v>59</v>
      </c>
      <c r="Z141" s="38">
        <f>ROUND(IF(AQ141="5",BJ141,0),2)</f>
        <v>0</v>
      </c>
      <c r="AB141" s="38">
        <f>ROUND(IF(AQ141="1",BH141,0),2)</f>
        <v>0</v>
      </c>
      <c r="AC141" s="38">
        <f>ROUND(IF(AQ141="1",BI141,0),2)</f>
        <v>0</v>
      </c>
      <c r="AD141" s="38">
        <f>ROUND(IF(AQ141="7",BH141,0),2)</f>
        <v>0</v>
      </c>
      <c r="AE141" s="38">
        <f>ROUND(IF(AQ141="7",BI141,0),2)</f>
        <v>0</v>
      </c>
      <c r="AF141" s="38">
        <f>ROUND(IF(AQ141="2",BH141,0),2)</f>
        <v>0</v>
      </c>
      <c r="AG141" s="38">
        <f>ROUND(IF(AQ141="2",BI141,0),2)</f>
        <v>0</v>
      </c>
      <c r="AH141" s="38">
        <f>ROUND(IF(AQ141="0",BJ141,0),2)</f>
        <v>0</v>
      </c>
      <c r="AI141" s="13" t="s">
        <v>51</v>
      </c>
      <c r="AJ141" s="38">
        <f>IF(AN141=0,L141,0)</f>
        <v>0</v>
      </c>
      <c r="AK141" s="38">
        <f>IF(AN141=12,L141,0)</f>
        <v>0</v>
      </c>
      <c r="AL141" s="38">
        <f>IF(AN141=21,L141,0)</f>
        <v>0</v>
      </c>
      <c r="AN141" s="38">
        <v>21</v>
      </c>
      <c r="AO141" s="38">
        <f>H141*0.864470284</f>
        <v>0</v>
      </c>
      <c r="AP141" s="38">
        <f>H141*(1-0.864470284)</f>
        <v>0</v>
      </c>
      <c r="AQ141" s="41" t="s">
        <v>84</v>
      </c>
      <c r="AV141" s="38">
        <f>ROUND(AW141+AX141,2)</f>
        <v>0</v>
      </c>
      <c r="AW141" s="38">
        <f>ROUND(G141*AO141,2)</f>
        <v>0</v>
      </c>
      <c r="AX141" s="38">
        <f>ROUND(G141*AP141,2)</f>
        <v>0</v>
      </c>
      <c r="AY141" s="41" t="s">
        <v>341</v>
      </c>
      <c r="AZ141" s="41" t="s">
        <v>280</v>
      </c>
      <c r="BA141" s="13" t="s">
        <v>62</v>
      </c>
      <c r="BC141" s="38">
        <f>AW141+AX141</f>
        <v>0</v>
      </c>
      <c r="BD141" s="38">
        <f>H141/(100-BE141)*100</f>
        <v>0</v>
      </c>
      <c r="BE141" s="38">
        <v>0</v>
      </c>
      <c r="BF141" s="38">
        <f>O141</f>
        <v>2.5999999999999999E-3</v>
      </c>
      <c r="BH141" s="38">
        <f>G141*AO141</f>
        <v>0</v>
      </c>
      <c r="BI141" s="38">
        <f>G141*AP141</f>
        <v>0</v>
      </c>
      <c r="BJ141" s="38">
        <f>G141*H141</f>
        <v>0</v>
      </c>
      <c r="BK141" s="38"/>
      <c r="BL141" s="38">
        <v>725</v>
      </c>
      <c r="BW141" s="38">
        <f>I141</f>
        <v>21</v>
      </c>
      <c r="BX141" s="5" t="s">
        <v>356</v>
      </c>
    </row>
    <row r="142" spans="1:76" x14ac:dyDescent="0.25">
      <c r="A142" s="2" t="s">
        <v>357</v>
      </c>
      <c r="B142" s="3" t="s">
        <v>51</v>
      </c>
      <c r="C142" s="3" t="s">
        <v>358</v>
      </c>
      <c r="D142" s="113" t="s">
        <v>359</v>
      </c>
      <c r="E142" s="110"/>
      <c r="F142" s="3" t="s">
        <v>118</v>
      </c>
      <c r="G142" s="38">
        <v>2</v>
      </c>
      <c r="H142" s="103"/>
      <c r="I142" s="39">
        <v>21</v>
      </c>
      <c r="J142" s="38">
        <f>ROUND(G142*AO142,2)</f>
        <v>0</v>
      </c>
      <c r="K142" s="38">
        <f>ROUND(G142*AP142,2)</f>
        <v>0</v>
      </c>
      <c r="L142" s="38">
        <f>ROUND(G142*H142,2)</f>
        <v>0</v>
      </c>
      <c r="M142" s="38">
        <f>L142*(1+BW142/100)</f>
        <v>0</v>
      </c>
      <c r="N142" s="38">
        <v>6.2E-4</v>
      </c>
      <c r="O142" s="38">
        <f>G142*N142</f>
        <v>1.24E-3</v>
      </c>
      <c r="P142" s="40" t="s">
        <v>59</v>
      </c>
      <c r="Z142" s="38">
        <f>ROUND(IF(AQ142="5",BJ142,0),2)</f>
        <v>0</v>
      </c>
      <c r="AB142" s="38">
        <f>ROUND(IF(AQ142="1",BH142,0),2)</f>
        <v>0</v>
      </c>
      <c r="AC142" s="38">
        <f>ROUND(IF(AQ142="1",BI142,0),2)</f>
        <v>0</v>
      </c>
      <c r="AD142" s="38">
        <f>ROUND(IF(AQ142="7",BH142,0),2)</f>
        <v>0</v>
      </c>
      <c r="AE142" s="38">
        <f>ROUND(IF(AQ142="7",BI142,0),2)</f>
        <v>0</v>
      </c>
      <c r="AF142" s="38">
        <f>ROUND(IF(AQ142="2",BH142,0),2)</f>
        <v>0</v>
      </c>
      <c r="AG142" s="38">
        <f>ROUND(IF(AQ142="2",BI142,0),2)</f>
        <v>0</v>
      </c>
      <c r="AH142" s="38">
        <f>ROUND(IF(AQ142="0",BJ142,0),2)</f>
        <v>0</v>
      </c>
      <c r="AI142" s="13" t="s">
        <v>51</v>
      </c>
      <c r="AJ142" s="38">
        <f>IF(AN142=0,L142,0)</f>
        <v>0</v>
      </c>
      <c r="AK142" s="38">
        <f>IF(AN142=12,L142,0)</f>
        <v>0</v>
      </c>
      <c r="AL142" s="38">
        <f>IF(AN142=21,L142,0)</f>
        <v>0</v>
      </c>
      <c r="AN142" s="38">
        <v>21</v>
      </c>
      <c r="AO142" s="38">
        <f>H142*0.300181818</f>
        <v>0</v>
      </c>
      <c r="AP142" s="38">
        <f>H142*(1-0.300181818)</f>
        <v>0</v>
      </c>
      <c r="AQ142" s="41" t="s">
        <v>84</v>
      </c>
      <c r="AV142" s="38">
        <f>ROUND(AW142+AX142,2)</f>
        <v>0</v>
      </c>
      <c r="AW142" s="38">
        <f>ROUND(G142*AO142,2)</f>
        <v>0</v>
      </c>
      <c r="AX142" s="38">
        <f>ROUND(G142*AP142,2)</f>
        <v>0</v>
      </c>
      <c r="AY142" s="41" t="s">
        <v>341</v>
      </c>
      <c r="AZ142" s="41" t="s">
        <v>280</v>
      </c>
      <c r="BA142" s="13" t="s">
        <v>62</v>
      </c>
      <c r="BC142" s="38">
        <f>AW142+AX142</f>
        <v>0</v>
      </c>
      <c r="BD142" s="38">
        <f>H142/(100-BE142)*100</f>
        <v>0</v>
      </c>
      <c r="BE142" s="38">
        <v>0</v>
      </c>
      <c r="BF142" s="38">
        <f>O142</f>
        <v>1.24E-3</v>
      </c>
      <c r="BH142" s="38">
        <f>G142*AO142</f>
        <v>0</v>
      </c>
      <c r="BI142" s="38">
        <f>G142*AP142</f>
        <v>0</v>
      </c>
      <c r="BJ142" s="38">
        <f>G142*H142</f>
        <v>0</v>
      </c>
      <c r="BK142" s="38"/>
      <c r="BL142" s="38">
        <v>725</v>
      </c>
      <c r="BW142" s="38">
        <f>I142</f>
        <v>21</v>
      </c>
      <c r="BX142" s="5" t="s">
        <v>359</v>
      </c>
    </row>
    <row r="143" spans="1:76" x14ac:dyDescent="0.25">
      <c r="A143" s="2" t="s">
        <v>360</v>
      </c>
      <c r="B143" s="3" t="s">
        <v>51</v>
      </c>
      <c r="C143" s="3" t="s">
        <v>361</v>
      </c>
      <c r="D143" s="113" t="s">
        <v>362</v>
      </c>
      <c r="E143" s="110"/>
      <c r="F143" s="3" t="s">
        <v>66</v>
      </c>
      <c r="G143" s="38">
        <v>2</v>
      </c>
      <c r="H143" s="103"/>
      <c r="I143" s="39">
        <v>21</v>
      </c>
      <c r="J143" s="38">
        <f>ROUND(G143*AO143,2)</f>
        <v>0</v>
      </c>
      <c r="K143" s="38">
        <f>ROUND(G143*AP143,2)</f>
        <v>0</v>
      </c>
      <c r="L143" s="38">
        <f>ROUND(G143*H143,2)</f>
        <v>0</v>
      </c>
      <c r="M143" s="38">
        <f>L143*(1+BW143/100)</f>
        <v>0</v>
      </c>
      <c r="N143" s="38">
        <v>5.3999999999999999E-2</v>
      </c>
      <c r="O143" s="38">
        <f>G143*N143</f>
        <v>0.108</v>
      </c>
      <c r="P143" s="40" t="s">
        <v>59</v>
      </c>
      <c r="Z143" s="38">
        <f>ROUND(IF(AQ143="5",BJ143,0),2)</f>
        <v>0</v>
      </c>
      <c r="AB143" s="38">
        <f>ROUND(IF(AQ143="1",BH143,0),2)</f>
        <v>0</v>
      </c>
      <c r="AC143" s="38">
        <f>ROUND(IF(AQ143="1",BI143,0),2)</f>
        <v>0</v>
      </c>
      <c r="AD143" s="38">
        <f>ROUND(IF(AQ143="7",BH143,0),2)</f>
        <v>0</v>
      </c>
      <c r="AE143" s="38">
        <f>ROUND(IF(AQ143="7",BI143,0),2)</f>
        <v>0</v>
      </c>
      <c r="AF143" s="38">
        <f>ROUND(IF(AQ143="2",BH143,0),2)</f>
        <v>0</v>
      </c>
      <c r="AG143" s="38">
        <f>ROUND(IF(AQ143="2",BI143,0),2)</f>
        <v>0</v>
      </c>
      <c r="AH143" s="38">
        <f>ROUND(IF(AQ143="0",BJ143,0),2)</f>
        <v>0</v>
      </c>
      <c r="AI143" s="13" t="s">
        <v>51</v>
      </c>
      <c r="AJ143" s="38">
        <f>IF(AN143=0,L143,0)</f>
        <v>0</v>
      </c>
      <c r="AK143" s="38">
        <f>IF(AN143=12,L143,0)</f>
        <v>0</v>
      </c>
      <c r="AL143" s="38">
        <f>IF(AN143=21,L143,0)</f>
        <v>0</v>
      </c>
      <c r="AN143" s="38">
        <v>21</v>
      </c>
      <c r="AO143" s="38">
        <f>H143*1</f>
        <v>0</v>
      </c>
      <c r="AP143" s="38">
        <f>H143*(1-1)</f>
        <v>0</v>
      </c>
      <c r="AQ143" s="41" t="s">
        <v>84</v>
      </c>
      <c r="AV143" s="38">
        <f>ROUND(AW143+AX143,2)</f>
        <v>0</v>
      </c>
      <c r="AW143" s="38">
        <f>ROUND(G143*AO143,2)</f>
        <v>0</v>
      </c>
      <c r="AX143" s="38">
        <f>ROUND(G143*AP143,2)</f>
        <v>0</v>
      </c>
      <c r="AY143" s="41" t="s">
        <v>341</v>
      </c>
      <c r="AZ143" s="41" t="s">
        <v>280</v>
      </c>
      <c r="BA143" s="13" t="s">
        <v>62</v>
      </c>
      <c r="BC143" s="38">
        <f>AW143+AX143</f>
        <v>0</v>
      </c>
      <c r="BD143" s="38">
        <f>H143/(100-BE143)*100</f>
        <v>0</v>
      </c>
      <c r="BE143" s="38">
        <v>0</v>
      </c>
      <c r="BF143" s="38">
        <f>O143</f>
        <v>0.108</v>
      </c>
      <c r="BH143" s="38">
        <f>G143*AO143</f>
        <v>0</v>
      </c>
      <c r="BI143" s="38">
        <f>G143*AP143</f>
        <v>0</v>
      </c>
      <c r="BJ143" s="38">
        <f>G143*H143</f>
        <v>0</v>
      </c>
      <c r="BK143" s="38"/>
      <c r="BL143" s="38">
        <v>725</v>
      </c>
      <c r="BW143" s="38">
        <f>I143</f>
        <v>21</v>
      </c>
      <c r="BX143" s="5" t="s">
        <v>362</v>
      </c>
    </row>
    <row r="144" spans="1:76" ht="25.5" x14ac:dyDescent="0.25">
      <c r="A144" s="42"/>
      <c r="C144" s="43" t="s">
        <v>67</v>
      </c>
      <c r="D144" s="179" t="s">
        <v>363</v>
      </c>
      <c r="E144" s="180"/>
      <c r="F144" s="180"/>
      <c r="G144" s="180"/>
      <c r="H144" s="180"/>
      <c r="I144" s="180"/>
      <c r="J144" s="180"/>
      <c r="K144" s="180"/>
      <c r="L144" s="180"/>
      <c r="M144" s="180"/>
      <c r="N144" s="180"/>
      <c r="O144" s="180"/>
      <c r="P144" s="181"/>
      <c r="BX144" s="44" t="s">
        <v>363</v>
      </c>
    </row>
    <row r="145" spans="1:76" x14ac:dyDescent="0.25">
      <c r="A145" s="2" t="s">
        <v>364</v>
      </c>
      <c r="B145" s="3" t="s">
        <v>51</v>
      </c>
      <c r="C145" s="3" t="s">
        <v>365</v>
      </c>
      <c r="D145" s="113" t="s">
        <v>366</v>
      </c>
      <c r="E145" s="110"/>
      <c r="F145" s="3" t="s">
        <v>118</v>
      </c>
      <c r="G145" s="38">
        <v>2</v>
      </c>
      <c r="H145" s="103"/>
      <c r="I145" s="39">
        <v>21</v>
      </c>
      <c r="J145" s="38">
        <f>ROUND(G145*AO145,2)</f>
        <v>0</v>
      </c>
      <c r="K145" s="38">
        <f>ROUND(G145*AP145,2)</f>
        <v>0</v>
      </c>
      <c r="L145" s="38">
        <f>ROUND(G145*H145,2)</f>
        <v>0</v>
      </c>
      <c r="M145" s="38">
        <f>L145*(1+BW145/100)</f>
        <v>0</v>
      </c>
      <c r="N145" s="38">
        <v>1.7000000000000001E-4</v>
      </c>
      <c r="O145" s="38">
        <f>G145*N145</f>
        <v>3.4000000000000002E-4</v>
      </c>
      <c r="P145" s="40" t="s">
        <v>59</v>
      </c>
      <c r="Z145" s="38">
        <f>ROUND(IF(AQ145="5",BJ145,0),2)</f>
        <v>0</v>
      </c>
      <c r="AB145" s="38">
        <f>ROUND(IF(AQ145="1",BH145,0),2)</f>
        <v>0</v>
      </c>
      <c r="AC145" s="38">
        <f>ROUND(IF(AQ145="1",BI145,0),2)</f>
        <v>0</v>
      </c>
      <c r="AD145" s="38">
        <f>ROUND(IF(AQ145="7",BH145,0),2)</f>
        <v>0</v>
      </c>
      <c r="AE145" s="38">
        <f>ROUND(IF(AQ145="7",BI145,0),2)</f>
        <v>0</v>
      </c>
      <c r="AF145" s="38">
        <f>ROUND(IF(AQ145="2",BH145,0),2)</f>
        <v>0</v>
      </c>
      <c r="AG145" s="38">
        <f>ROUND(IF(AQ145="2",BI145,0),2)</f>
        <v>0</v>
      </c>
      <c r="AH145" s="38">
        <f>ROUND(IF(AQ145="0",BJ145,0),2)</f>
        <v>0</v>
      </c>
      <c r="AI145" s="13" t="s">
        <v>51</v>
      </c>
      <c r="AJ145" s="38">
        <f>IF(AN145=0,L145,0)</f>
        <v>0</v>
      </c>
      <c r="AK145" s="38">
        <f>IF(AN145=12,L145,0)</f>
        <v>0</v>
      </c>
      <c r="AL145" s="38">
        <f>IF(AN145=21,L145,0)</f>
        <v>0</v>
      </c>
      <c r="AN145" s="38">
        <v>21</v>
      </c>
      <c r="AO145" s="38">
        <f>H145*0.054292308</f>
        <v>0</v>
      </c>
      <c r="AP145" s="38">
        <f>H145*(1-0.054292308)</f>
        <v>0</v>
      </c>
      <c r="AQ145" s="41" t="s">
        <v>84</v>
      </c>
      <c r="AV145" s="38">
        <f>ROUND(AW145+AX145,2)</f>
        <v>0</v>
      </c>
      <c r="AW145" s="38">
        <f>ROUND(G145*AO145,2)</f>
        <v>0</v>
      </c>
      <c r="AX145" s="38">
        <f>ROUND(G145*AP145,2)</f>
        <v>0</v>
      </c>
      <c r="AY145" s="41" t="s">
        <v>341</v>
      </c>
      <c r="AZ145" s="41" t="s">
        <v>280</v>
      </c>
      <c r="BA145" s="13" t="s">
        <v>62</v>
      </c>
      <c r="BC145" s="38">
        <f>AW145+AX145</f>
        <v>0</v>
      </c>
      <c r="BD145" s="38">
        <f>H145/(100-BE145)*100</f>
        <v>0</v>
      </c>
      <c r="BE145" s="38">
        <v>0</v>
      </c>
      <c r="BF145" s="38">
        <f>O145</f>
        <v>3.4000000000000002E-4</v>
      </c>
      <c r="BH145" s="38">
        <f>G145*AO145</f>
        <v>0</v>
      </c>
      <c r="BI145" s="38">
        <f>G145*AP145</f>
        <v>0</v>
      </c>
      <c r="BJ145" s="38">
        <f>G145*H145</f>
        <v>0</v>
      </c>
      <c r="BK145" s="38"/>
      <c r="BL145" s="38">
        <v>725</v>
      </c>
      <c r="BW145" s="38">
        <f>I145</f>
        <v>21</v>
      </c>
      <c r="BX145" s="5" t="s">
        <v>366</v>
      </c>
    </row>
    <row r="146" spans="1:76" x14ac:dyDescent="0.25">
      <c r="A146" s="2" t="s">
        <v>367</v>
      </c>
      <c r="B146" s="3" t="s">
        <v>51</v>
      </c>
      <c r="C146" s="3" t="s">
        <v>368</v>
      </c>
      <c r="D146" s="113" t="s">
        <v>369</v>
      </c>
      <c r="E146" s="110"/>
      <c r="F146" s="3" t="s">
        <v>66</v>
      </c>
      <c r="G146" s="38">
        <v>2</v>
      </c>
      <c r="H146" s="103"/>
      <c r="I146" s="39">
        <v>21</v>
      </c>
      <c r="J146" s="38">
        <f>ROUND(G146*AO146,2)</f>
        <v>0</v>
      </c>
      <c r="K146" s="38">
        <f>ROUND(G146*AP146,2)</f>
        <v>0</v>
      </c>
      <c r="L146" s="38">
        <f>ROUND(G146*H146,2)</f>
        <v>0</v>
      </c>
      <c r="M146" s="38">
        <f>L146*(1+BW146/100)</f>
        <v>0</v>
      </c>
      <c r="N146" s="38">
        <v>1.0999999999999999E-2</v>
      </c>
      <c r="O146" s="38">
        <f>G146*N146</f>
        <v>2.1999999999999999E-2</v>
      </c>
      <c r="P146" s="40" t="s">
        <v>114</v>
      </c>
      <c r="Z146" s="38">
        <f>ROUND(IF(AQ146="5",BJ146,0),2)</f>
        <v>0</v>
      </c>
      <c r="AB146" s="38">
        <f>ROUND(IF(AQ146="1",BH146,0),2)</f>
        <v>0</v>
      </c>
      <c r="AC146" s="38">
        <f>ROUND(IF(AQ146="1",BI146,0),2)</f>
        <v>0</v>
      </c>
      <c r="AD146" s="38">
        <f>ROUND(IF(AQ146="7",BH146,0),2)</f>
        <v>0</v>
      </c>
      <c r="AE146" s="38">
        <f>ROUND(IF(AQ146="7",BI146,0),2)</f>
        <v>0</v>
      </c>
      <c r="AF146" s="38">
        <f>ROUND(IF(AQ146="2",BH146,0),2)</f>
        <v>0</v>
      </c>
      <c r="AG146" s="38">
        <f>ROUND(IF(AQ146="2",BI146,0),2)</f>
        <v>0</v>
      </c>
      <c r="AH146" s="38">
        <f>ROUND(IF(AQ146="0",BJ146,0),2)</f>
        <v>0</v>
      </c>
      <c r="AI146" s="13" t="s">
        <v>51</v>
      </c>
      <c r="AJ146" s="38">
        <f>IF(AN146=0,L146,0)</f>
        <v>0</v>
      </c>
      <c r="AK146" s="38">
        <f>IF(AN146=12,L146,0)</f>
        <v>0</v>
      </c>
      <c r="AL146" s="38">
        <f>IF(AN146=21,L146,0)</f>
        <v>0</v>
      </c>
      <c r="AN146" s="38">
        <v>21</v>
      </c>
      <c r="AO146" s="38">
        <f>H146*1</f>
        <v>0</v>
      </c>
      <c r="AP146" s="38">
        <f>H146*(1-1)</f>
        <v>0</v>
      </c>
      <c r="AQ146" s="41" t="s">
        <v>84</v>
      </c>
      <c r="AV146" s="38">
        <f>ROUND(AW146+AX146,2)</f>
        <v>0</v>
      </c>
      <c r="AW146" s="38">
        <f>ROUND(G146*AO146,2)</f>
        <v>0</v>
      </c>
      <c r="AX146" s="38">
        <f>ROUND(G146*AP146,2)</f>
        <v>0</v>
      </c>
      <c r="AY146" s="41" t="s">
        <v>341</v>
      </c>
      <c r="AZ146" s="41" t="s">
        <v>280</v>
      </c>
      <c r="BA146" s="13" t="s">
        <v>62</v>
      </c>
      <c r="BC146" s="38">
        <f>AW146+AX146</f>
        <v>0</v>
      </c>
      <c r="BD146" s="38">
        <f>H146/(100-BE146)*100</f>
        <v>0</v>
      </c>
      <c r="BE146" s="38">
        <v>0</v>
      </c>
      <c r="BF146" s="38">
        <f>O146</f>
        <v>2.1999999999999999E-2</v>
      </c>
      <c r="BH146" s="38">
        <f>G146*AO146</f>
        <v>0</v>
      </c>
      <c r="BI146" s="38">
        <f>G146*AP146</f>
        <v>0</v>
      </c>
      <c r="BJ146" s="38">
        <f>G146*H146</f>
        <v>0</v>
      </c>
      <c r="BK146" s="38"/>
      <c r="BL146" s="38">
        <v>725</v>
      </c>
      <c r="BW146" s="38">
        <f>I146</f>
        <v>21</v>
      </c>
      <c r="BX146" s="5" t="s">
        <v>369</v>
      </c>
    </row>
    <row r="147" spans="1:76" ht="51" x14ac:dyDescent="0.25">
      <c r="A147" s="42"/>
      <c r="C147" s="43" t="s">
        <v>67</v>
      </c>
      <c r="D147" s="179" t="s">
        <v>370</v>
      </c>
      <c r="E147" s="180"/>
      <c r="F147" s="180"/>
      <c r="G147" s="180"/>
      <c r="H147" s="180"/>
      <c r="I147" s="180"/>
      <c r="J147" s="180"/>
      <c r="K147" s="180"/>
      <c r="L147" s="180"/>
      <c r="M147" s="180"/>
      <c r="N147" s="180"/>
      <c r="O147" s="180"/>
      <c r="P147" s="181"/>
      <c r="BX147" s="44" t="s">
        <v>370</v>
      </c>
    </row>
    <row r="148" spans="1:76" x14ac:dyDescent="0.25">
      <c r="A148" s="2" t="s">
        <v>371</v>
      </c>
      <c r="B148" s="3" t="s">
        <v>51</v>
      </c>
      <c r="C148" s="3" t="s">
        <v>372</v>
      </c>
      <c r="D148" s="113" t="s">
        <v>373</v>
      </c>
      <c r="E148" s="110"/>
      <c r="F148" s="3" t="s">
        <v>118</v>
      </c>
      <c r="G148" s="38">
        <v>2</v>
      </c>
      <c r="H148" s="103"/>
      <c r="I148" s="39">
        <v>21</v>
      </c>
      <c r="J148" s="38">
        <f>ROUND(G148*AO148,2)</f>
        <v>0</v>
      </c>
      <c r="K148" s="38">
        <f>ROUND(G148*AP148,2)</f>
        <v>0</v>
      </c>
      <c r="L148" s="38">
        <f>ROUND(G148*H148,2)</f>
        <v>0</v>
      </c>
      <c r="M148" s="38">
        <f>L148*(1+BW148/100)</f>
        <v>0</v>
      </c>
      <c r="N148" s="38">
        <v>1.1199999999999999E-3</v>
      </c>
      <c r="O148" s="38">
        <f>G148*N148</f>
        <v>2.2399999999999998E-3</v>
      </c>
      <c r="P148" s="40" t="s">
        <v>114</v>
      </c>
      <c r="Z148" s="38">
        <f>ROUND(IF(AQ148="5",BJ148,0),2)</f>
        <v>0</v>
      </c>
      <c r="AB148" s="38">
        <f>ROUND(IF(AQ148="1",BH148,0),2)</f>
        <v>0</v>
      </c>
      <c r="AC148" s="38">
        <f>ROUND(IF(AQ148="1",BI148,0),2)</f>
        <v>0</v>
      </c>
      <c r="AD148" s="38">
        <f>ROUND(IF(AQ148="7",BH148,0),2)</f>
        <v>0</v>
      </c>
      <c r="AE148" s="38">
        <f>ROUND(IF(AQ148="7",BI148,0),2)</f>
        <v>0</v>
      </c>
      <c r="AF148" s="38">
        <f>ROUND(IF(AQ148="2",BH148,0),2)</f>
        <v>0</v>
      </c>
      <c r="AG148" s="38">
        <f>ROUND(IF(AQ148="2",BI148,0),2)</f>
        <v>0</v>
      </c>
      <c r="AH148" s="38">
        <f>ROUND(IF(AQ148="0",BJ148,0),2)</f>
        <v>0</v>
      </c>
      <c r="AI148" s="13" t="s">
        <v>51</v>
      </c>
      <c r="AJ148" s="38">
        <f>IF(AN148=0,L148,0)</f>
        <v>0</v>
      </c>
      <c r="AK148" s="38">
        <f>IF(AN148=12,L148,0)</f>
        <v>0</v>
      </c>
      <c r="AL148" s="38">
        <f>IF(AN148=21,L148,0)</f>
        <v>0</v>
      </c>
      <c r="AN148" s="38">
        <v>21</v>
      </c>
      <c r="AO148" s="38">
        <f>H148*0.91772</f>
        <v>0</v>
      </c>
      <c r="AP148" s="38">
        <f>H148*(1-0.91772)</f>
        <v>0</v>
      </c>
      <c r="AQ148" s="41" t="s">
        <v>84</v>
      </c>
      <c r="AV148" s="38">
        <f>ROUND(AW148+AX148,2)</f>
        <v>0</v>
      </c>
      <c r="AW148" s="38">
        <f>ROUND(G148*AO148,2)</f>
        <v>0</v>
      </c>
      <c r="AX148" s="38">
        <f>ROUND(G148*AP148,2)</f>
        <v>0</v>
      </c>
      <c r="AY148" s="41" t="s">
        <v>341</v>
      </c>
      <c r="AZ148" s="41" t="s">
        <v>280</v>
      </c>
      <c r="BA148" s="13" t="s">
        <v>62</v>
      </c>
      <c r="BC148" s="38">
        <f>AW148+AX148</f>
        <v>0</v>
      </c>
      <c r="BD148" s="38">
        <f>H148/(100-BE148)*100</f>
        <v>0</v>
      </c>
      <c r="BE148" s="38">
        <v>0</v>
      </c>
      <c r="BF148" s="38">
        <f>O148</f>
        <v>2.2399999999999998E-3</v>
      </c>
      <c r="BH148" s="38">
        <f>G148*AO148</f>
        <v>0</v>
      </c>
      <c r="BI148" s="38">
        <f>G148*AP148</f>
        <v>0</v>
      </c>
      <c r="BJ148" s="38">
        <f>G148*H148</f>
        <v>0</v>
      </c>
      <c r="BK148" s="38"/>
      <c r="BL148" s="38">
        <v>725</v>
      </c>
      <c r="BW148" s="38">
        <f>I148</f>
        <v>21</v>
      </c>
      <c r="BX148" s="5" t="s">
        <v>373</v>
      </c>
    </row>
    <row r="149" spans="1:76" x14ac:dyDescent="0.25">
      <c r="A149" s="2" t="s">
        <v>374</v>
      </c>
      <c r="B149" s="3" t="s">
        <v>51</v>
      </c>
      <c r="C149" s="3" t="s">
        <v>375</v>
      </c>
      <c r="D149" s="113" t="s">
        <v>376</v>
      </c>
      <c r="E149" s="110"/>
      <c r="F149" s="3" t="s">
        <v>66</v>
      </c>
      <c r="G149" s="38">
        <v>2</v>
      </c>
      <c r="H149" s="103"/>
      <c r="I149" s="39">
        <v>21</v>
      </c>
      <c r="J149" s="38">
        <f>ROUND(G149*AO149,2)</f>
        <v>0</v>
      </c>
      <c r="K149" s="38">
        <f>ROUND(G149*AP149,2)</f>
        <v>0</v>
      </c>
      <c r="L149" s="38">
        <f>ROUND(G149*H149,2)</f>
        <v>0</v>
      </c>
      <c r="M149" s="38">
        <f>L149*(1+BW149/100)</f>
        <v>0</v>
      </c>
      <c r="N149" s="38">
        <v>0</v>
      </c>
      <c r="O149" s="38">
        <f>G149*N149</f>
        <v>0</v>
      </c>
      <c r="P149" s="40" t="s">
        <v>114</v>
      </c>
      <c r="Z149" s="38">
        <f>ROUND(IF(AQ149="5",BJ149,0),2)</f>
        <v>0</v>
      </c>
      <c r="AB149" s="38">
        <f>ROUND(IF(AQ149="1",BH149,0),2)</f>
        <v>0</v>
      </c>
      <c r="AC149" s="38">
        <f>ROUND(IF(AQ149="1",BI149,0),2)</f>
        <v>0</v>
      </c>
      <c r="AD149" s="38">
        <f>ROUND(IF(AQ149="7",BH149,0),2)</f>
        <v>0</v>
      </c>
      <c r="AE149" s="38">
        <f>ROUND(IF(AQ149="7",BI149,0),2)</f>
        <v>0</v>
      </c>
      <c r="AF149" s="38">
        <f>ROUND(IF(AQ149="2",BH149,0),2)</f>
        <v>0</v>
      </c>
      <c r="AG149" s="38">
        <f>ROUND(IF(AQ149="2",BI149,0),2)</f>
        <v>0</v>
      </c>
      <c r="AH149" s="38">
        <f>ROUND(IF(AQ149="0",BJ149,0),2)</f>
        <v>0</v>
      </c>
      <c r="AI149" s="13" t="s">
        <v>51</v>
      </c>
      <c r="AJ149" s="38">
        <f>IF(AN149=0,L149,0)</f>
        <v>0</v>
      </c>
      <c r="AK149" s="38">
        <f>IF(AN149=12,L149,0)</f>
        <v>0</v>
      </c>
      <c r="AL149" s="38">
        <f>IF(AN149=21,L149,0)</f>
        <v>0</v>
      </c>
      <c r="AN149" s="38">
        <v>21</v>
      </c>
      <c r="AO149" s="38">
        <f>H149*1</f>
        <v>0</v>
      </c>
      <c r="AP149" s="38">
        <f>H149*(1-1)</f>
        <v>0</v>
      </c>
      <c r="AQ149" s="41" t="s">
        <v>84</v>
      </c>
      <c r="AV149" s="38">
        <f>ROUND(AW149+AX149,2)</f>
        <v>0</v>
      </c>
      <c r="AW149" s="38">
        <f>ROUND(G149*AO149,2)</f>
        <v>0</v>
      </c>
      <c r="AX149" s="38">
        <f>ROUND(G149*AP149,2)</f>
        <v>0</v>
      </c>
      <c r="AY149" s="41" t="s">
        <v>341</v>
      </c>
      <c r="AZ149" s="41" t="s">
        <v>280</v>
      </c>
      <c r="BA149" s="13" t="s">
        <v>62</v>
      </c>
      <c r="BC149" s="38">
        <f>AW149+AX149</f>
        <v>0</v>
      </c>
      <c r="BD149" s="38">
        <f>H149/(100-BE149)*100</f>
        <v>0</v>
      </c>
      <c r="BE149" s="38">
        <v>0</v>
      </c>
      <c r="BF149" s="38">
        <f>O149</f>
        <v>0</v>
      </c>
      <c r="BH149" s="38">
        <f>G149*AO149</f>
        <v>0</v>
      </c>
      <c r="BI149" s="38">
        <f>G149*AP149</f>
        <v>0</v>
      </c>
      <c r="BJ149" s="38">
        <f>G149*H149</f>
        <v>0</v>
      </c>
      <c r="BK149" s="38"/>
      <c r="BL149" s="38">
        <v>725</v>
      </c>
      <c r="BW149" s="38">
        <f>I149</f>
        <v>21</v>
      </c>
      <c r="BX149" s="5" t="s">
        <v>376</v>
      </c>
    </row>
    <row r="150" spans="1:76" x14ac:dyDescent="0.25">
      <c r="A150" s="42"/>
      <c r="C150" s="43" t="s">
        <v>67</v>
      </c>
      <c r="D150" s="179" t="s">
        <v>377</v>
      </c>
      <c r="E150" s="180"/>
      <c r="F150" s="180"/>
      <c r="G150" s="180"/>
      <c r="H150" s="180"/>
      <c r="I150" s="180"/>
      <c r="J150" s="180"/>
      <c r="K150" s="180"/>
      <c r="L150" s="180"/>
      <c r="M150" s="180"/>
      <c r="N150" s="180"/>
      <c r="O150" s="180"/>
      <c r="P150" s="181"/>
      <c r="BX150" s="44" t="s">
        <v>377</v>
      </c>
    </row>
    <row r="151" spans="1:76" x14ac:dyDescent="0.25">
      <c r="A151" s="2" t="s">
        <v>378</v>
      </c>
      <c r="B151" s="3" t="s">
        <v>51</v>
      </c>
      <c r="C151" s="3" t="s">
        <v>379</v>
      </c>
      <c r="D151" s="113" t="s">
        <v>380</v>
      </c>
      <c r="E151" s="110"/>
      <c r="F151" s="3" t="s">
        <v>66</v>
      </c>
      <c r="G151" s="38">
        <v>2</v>
      </c>
      <c r="H151" s="103"/>
      <c r="I151" s="39">
        <v>21</v>
      </c>
      <c r="J151" s="38">
        <f>ROUND(G151*AO151,2)</f>
        <v>0</v>
      </c>
      <c r="K151" s="38">
        <f>ROUND(G151*AP151,2)</f>
        <v>0</v>
      </c>
      <c r="L151" s="38">
        <f>ROUND(G151*H151,2)</f>
        <v>0</v>
      </c>
      <c r="M151" s="38">
        <f>L151*(1+BW151/100)</f>
        <v>0</v>
      </c>
      <c r="N151" s="38">
        <v>0</v>
      </c>
      <c r="O151" s="38">
        <f>G151*N151</f>
        <v>0</v>
      </c>
      <c r="P151" s="40" t="s">
        <v>59</v>
      </c>
      <c r="Z151" s="38">
        <f>ROUND(IF(AQ151="5",BJ151,0),2)</f>
        <v>0</v>
      </c>
      <c r="AB151" s="38">
        <f>ROUND(IF(AQ151="1",BH151,0),2)</f>
        <v>0</v>
      </c>
      <c r="AC151" s="38">
        <f>ROUND(IF(AQ151="1",BI151,0),2)</f>
        <v>0</v>
      </c>
      <c r="AD151" s="38">
        <f>ROUND(IF(AQ151="7",BH151,0),2)</f>
        <v>0</v>
      </c>
      <c r="AE151" s="38">
        <f>ROUND(IF(AQ151="7",BI151,0),2)</f>
        <v>0</v>
      </c>
      <c r="AF151" s="38">
        <f>ROUND(IF(AQ151="2",BH151,0),2)</f>
        <v>0</v>
      </c>
      <c r="AG151" s="38">
        <f>ROUND(IF(AQ151="2",BI151,0),2)</f>
        <v>0</v>
      </c>
      <c r="AH151" s="38">
        <f>ROUND(IF(AQ151="0",BJ151,0),2)</f>
        <v>0</v>
      </c>
      <c r="AI151" s="13" t="s">
        <v>51</v>
      </c>
      <c r="AJ151" s="38">
        <f>IF(AN151=0,L151,0)</f>
        <v>0</v>
      </c>
      <c r="AK151" s="38">
        <f>IF(AN151=12,L151,0)</f>
        <v>0</v>
      </c>
      <c r="AL151" s="38">
        <f>IF(AN151=21,L151,0)</f>
        <v>0</v>
      </c>
      <c r="AN151" s="38">
        <v>21</v>
      </c>
      <c r="AO151" s="38">
        <f>H151*1</f>
        <v>0</v>
      </c>
      <c r="AP151" s="38">
        <f>H151*(1-1)</f>
        <v>0</v>
      </c>
      <c r="AQ151" s="41" t="s">
        <v>84</v>
      </c>
      <c r="AV151" s="38">
        <f>ROUND(AW151+AX151,2)</f>
        <v>0</v>
      </c>
      <c r="AW151" s="38">
        <f>ROUND(G151*AO151,2)</f>
        <v>0</v>
      </c>
      <c r="AX151" s="38">
        <f>ROUND(G151*AP151,2)</f>
        <v>0</v>
      </c>
      <c r="AY151" s="41" t="s">
        <v>341</v>
      </c>
      <c r="AZ151" s="41" t="s">
        <v>280</v>
      </c>
      <c r="BA151" s="13" t="s">
        <v>62</v>
      </c>
      <c r="BC151" s="38">
        <f>AW151+AX151</f>
        <v>0</v>
      </c>
      <c r="BD151" s="38">
        <f>H151/(100-BE151)*100</f>
        <v>0</v>
      </c>
      <c r="BE151" s="38">
        <v>0</v>
      </c>
      <c r="BF151" s="38">
        <f>O151</f>
        <v>0</v>
      </c>
      <c r="BH151" s="38">
        <f>G151*AO151</f>
        <v>0</v>
      </c>
      <c r="BI151" s="38">
        <f>G151*AP151</f>
        <v>0</v>
      </c>
      <c r="BJ151" s="38">
        <f>G151*H151</f>
        <v>0</v>
      </c>
      <c r="BK151" s="38"/>
      <c r="BL151" s="38">
        <v>725</v>
      </c>
      <c r="BW151" s="38">
        <f>I151</f>
        <v>21</v>
      </c>
      <c r="BX151" s="5" t="s">
        <v>380</v>
      </c>
    </row>
    <row r="152" spans="1:76" x14ac:dyDescent="0.25">
      <c r="A152" s="42"/>
      <c r="C152" s="43" t="s">
        <v>67</v>
      </c>
      <c r="D152" s="179" t="s">
        <v>381</v>
      </c>
      <c r="E152" s="180"/>
      <c r="F152" s="180"/>
      <c r="G152" s="180"/>
      <c r="H152" s="180"/>
      <c r="I152" s="180"/>
      <c r="J152" s="180"/>
      <c r="K152" s="180"/>
      <c r="L152" s="180"/>
      <c r="M152" s="180"/>
      <c r="N152" s="180"/>
      <c r="O152" s="180"/>
      <c r="P152" s="181"/>
      <c r="BX152" s="44" t="s">
        <v>381</v>
      </c>
    </row>
    <row r="153" spans="1:76" x14ac:dyDescent="0.25">
      <c r="A153" s="2" t="s">
        <v>382</v>
      </c>
      <c r="B153" s="3" t="s">
        <v>51</v>
      </c>
      <c r="C153" s="3" t="s">
        <v>383</v>
      </c>
      <c r="D153" s="113" t="s">
        <v>384</v>
      </c>
      <c r="E153" s="110"/>
      <c r="F153" s="3" t="s">
        <v>66</v>
      </c>
      <c r="G153" s="38">
        <v>2</v>
      </c>
      <c r="H153" s="103"/>
      <c r="I153" s="39">
        <v>21</v>
      </c>
      <c r="J153" s="38">
        <f>ROUND(G153*AO153,2)</f>
        <v>0</v>
      </c>
      <c r="K153" s="38">
        <f>ROUND(G153*AP153,2)</f>
        <v>0</v>
      </c>
      <c r="L153" s="38">
        <f>ROUND(G153*H153,2)</f>
        <v>0</v>
      </c>
      <c r="M153" s="38">
        <f>L153*(1+BW153/100)</f>
        <v>0</v>
      </c>
      <c r="N153" s="38">
        <v>0</v>
      </c>
      <c r="O153" s="38">
        <f>G153*N153</f>
        <v>0</v>
      </c>
      <c r="P153" s="40" t="s">
        <v>59</v>
      </c>
      <c r="Z153" s="38">
        <f>ROUND(IF(AQ153="5",BJ153,0),2)</f>
        <v>0</v>
      </c>
      <c r="AB153" s="38">
        <f>ROUND(IF(AQ153="1",BH153,0),2)</f>
        <v>0</v>
      </c>
      <c r="AC153" s="38">
        <f>ROUND(IF(AQ153="1",BI153,0),2)</f>
        <v>0</v>
      </c>
      <c r="AD153" s="38">
        <f>ROUND(IF(AQ153="7",BH153,0),2)</f>
        <v>0</v>
      </c>
      <c r="AE153" s="38">
        <f>ROUND(IF(AQ153="7",BI153,0),2)</f>
        <v>0</v>
      </c>
      <c r="AF153" s="38">
        <f>ROUND(IF(AQ153="2",BH153,0),2)</f>
        <v>0</v>
      </c>
      <c r="AG153" s="38">
        <f>ROUND(IF(AQ153="2",BI153,0),2)</f>
        <v>0</v>
      </c>
      <c r="AH153" s="38">
        <f>ROUND(IF(AQ153="0",BJ153,0),2)</f>
        <v>0</v>
      </c>
      <c r="AI153" s="13" t="s">
        <v>51</v>
      </c>
      <c r="AJ153" s="38">
        <f>IF(AN153=0,L153,0)</f>
        <v>0</v>
      </c>
      <c r="AK153" s="38">
        <f>IF(AN153=12,L153,0)</f>
        <v>0</v>
      </c>
      <c r="AL153" s="38">
        <f>IF(AN153=21,L153,0)</f>
        <v>0</v>
      </c>
      <c r="AN153" s="38">
        <v>21</v>
      </c>
      <c r="AO153" s="38">
        <f>H153*1</f>
        <v>0</v>
      </c>
      <c r="AP153" s="38">
        <f>H153*(1-1)</f>
        <v>0</v>
      </c>
      <c r="AQ153" s="41" t="s">
        <v>84</v>
      </c>
      <c r="AV153" s="38">
        <f>ROUND(AW153+AX153,2)</f>
        <v>0</v>
      </c>
      <c r="AW153" s="38">
        <f>ROUND(G153*AO153,2)</f>
        <v>0</v>
      </c>
      <c r="AX153" s="38">
        <f>ROUND(G153*AP153,2)</f>
        <v>0</v>
      </c>
      <c r="AY153" s="41" t="s">
        <v>341</v>
      </c>
      <c r="AZ153" s="41" t="s">
        <v>280</v>
      </c>
      <c r="BA153" s="13" t="s">
        <v>62</v>
      </c>
      <c r="BC153" s="38">
        <f>AW153+AX153</f>
        <v>0</v>
      </c>
      <c r="BD153" s="38">
        <f>H153/(100-BE153)*100</f>
        <v>0</v>
      </c>
      <c r="BE153" s="38">
        <v>0</v>
      </c>
      <c r="BF153" s="38">
        <f>O153</f>
        <v>0</v>
      </c>
      <c r="BH153" s="38">
        <f>G153*AO153</f>
        <v>0</v>
      </c>
      <c r="BI153" s="38">
        <f>G153*AP153</f>
        <v>0</v>
      </c>
      <c r="BJ153" s="38">
        <f>G153*H153</f>
        <v>0</v>
      </c>
      <c r="BK153" s="38"/>
      <c r="BL153" s="38">
        <v>725</v>
      </c>
      <c r="BW153" s="38">
        <f>I153</f>
        <v>21</v>
      </c>
      <c r="BX153" s="5" t="s">
        <v>384</v>
      </c>
    </row>
    <row r="154" spans="1:76" x14ac:dyDescent="0.25">
      <c r="A154" s="42"/>
      <c r="C154" s="43" t="s">
        <v>67</v>
      </c>
      <c r="D154" s="179" t="s">
        <v>385</v>
      </c>
      <c r="E154" s="180"/>
      <c r="F154" s="180"/>
      <c r="G154" s="180"/>
      <c r="H154" s="180"/>
      <c r="I154" s="180"/>
      <c r="J154" s="180"/>
      <c r="K154" s="180"/>
      <c r="L154" s="180"/>
      <c r="M154" s="180"/>
      <c r="N154" s="180"/>
      <c r="O154" s="180"/>
      <c r="P154" s="181"/>
      <c r="BX154" s="44" t="s">
        <v>385</v>
      </c>
    </row>
    <row r="155" spans="1:76" x14ac:dyDescent="0.25">
      <c r="A155" s="2" t="s">
        <v>386</v>
      </c>
      <c r="B155" s="3" t="s">
        <v>51</v>
      </c>
      <c r="C155" s="3" t="s">
        <v>387</v>
      </c>
      <c r="D155" s="113" t="s">
        <v>388</v>
      </c>
      <c r="E155" s="110"/>
      <c r="F155" s="3" t="s">
        <v>118</v>
      </c>
      <c r="G155" s="38">
        <v>2</v>
      </c>
      <c r="H155" s="103"/>
      <c r="I155" s="39">
        <v>21</v>
      </c>
      <c r="J155" s="38">
        <f>ROUND(G155*AO155,2)</f>
        <v>0</v>
      </c>
      <c r="K155" s="38">
        <f>ROUND(G155*AP155,2)</f>
        <v>0</v>
      </c>
      <c r="L155" s="38">
        <f>ROUND(G155*H155,2)</f>
        <v>0</v>
      </c>
      <c r="M155" s="38">
        <f>L155*(1+BW155/100)</f>
        <v>0</v>
      </c>
      <c r="N155" s="38">
        <v>8.4000000000000003E-4</v>
      </c>
      <c r="O155" s="38">
        <f>G155*N155</f>
        <v>1.6800000000000001E-3</v>
      </c>
      <c r="P155" s="40" t="s">
        <v>59</v>
      </c>
      <c r="Z155" s="38">
        <f>ROUND(IF(AQ155="5",BJ155,0),2)</f>
        <v>0</v>
      </c>
      <c r="AB155" s="38">
        <f>ROUND(IF(AQ155="1",BH155,0),2)</f>
        <v>0</v>
      </c>
      <c r="AC155" s="38">
        <f>ROUND(IF(AQ155="1",BI155,0),2)</f>
        <v>0</v>
      </c>
      <c r="AD155" s="38">
        <f>ROUND(IF(AQ155="7",BH155,0),2)</f>
        <v>0</v>
      </c>
      <c r="AE155" s="38">
        <f>ROUND(IF(AQ155="7",BI155,0),2)</f>
        <v>0</v>
      </c>
      <c r="AF155" s="38">
        <f>ROUND(IF(AQ155="2",BH155,0),2)</f>
        <v>0</v>
      </c>
      <c r="AG155" s="38">
        <f>ROUND(IF(AQ155="2",BI155,0),2)</f>
        <v>0</v>
      </c>
      <c r="AH155" s="38">
        <f>ROUND(IF(AQ155="0",BJ155,0),2)</f>
        <v>0</v>
      </c>
      <c r="AI155" s="13" t="s">
        <v>51</v>
      </c>
      <c r="AJ155" s="38">
        <f>IF(AN155=0,L155,0)</f>
        <v>0</v>
      </c>
      <c r="AK155" s="38">
        <f>IF(AN155=12,L155,0)</f>
        <v>0</v>
      </c>
      <c r="AL155" s="38">
        <f>IF(AN155=21,L155,0)</f>
        <v>0</v>
      </c>
      <c r="AN155" s="38">
        <v>21</v>
      </c>
      <c r="AO155" s="38">
        <f>H155*0.402378095</f>
        <v>0</v>
      </c>
      <c r="AP155" s="38">
        <f>H155*(1-0.402378095)</f>
        <v>0</v>
      </c>
      <c r="AQ155" s="41" t="s">
        <v>84</v>
      </c>
      <c r="AV155" s="38">
        <f>ROUND(AW155+AX155,2)</f>
        <v>0</v>
      </c>
      <c r="AW155" s="38">
        <f>ROUND(G155*AO155,2)</f>
        <v>0</v>
      </c>
      <c r="AX155" s="38">
        <f>ROUND(G155*AP155,2)</f>
        <v>0</v>
      </c>
      <c r="AY155" s="41" t="s">
        <v>341</v>
      </c>
      <c r="AZ155" s="41" t="s">
        <v>280</v>
      </c>
      <c r="BA155" s="13" t="s">
        <v>62</v>
      </c>
      <c r="BC155" s="38">
        <f>AW155+AX155</f>
        <v>0</v>
      </c>
      <c r="BD155" s="38">
        <f>H155/(100-BE155)*100</f>
        <v>0</v>
      </c>
      <c r="BE155" s="38">
        <v>0</v>
      </c>
      <c r="BF155" s="38">
        <f>O155</f>
        <v>1.6800000000000001E-3</v>
      </c>
      <c r="BH155" s="38">
        <f>G155*AO155</f>
        <v>0</v>
      </c>
      <c r="BI155" s="38">
        <f>G155*AP155</f>
        <v>0</v>
      </c>
      <c r="BJ155" s="38">
        <f>G155*H155</f>
        <v>0</v>
      </c>
      <c r="BK155" s="38"/>
      <c r="BL155" s="38">
        <v>725</v>
      </c>
      <c r="BW155" s="38">
        <f>I155</f>
        <v>21</v>
      </c>
      <c r="BX155" s="5" t="s">
        <v>388</v>
      </c>
    </row>
    <row r="156" spans="1:76" x14ac:dyDescent="0.25">
      <c r="A156" s="2" t="s">
        <v>389</v>
      </c>
      <c r="B156" s="3" t="s">
        <v>51</v>
      </c>
      <c r="C156" s="3" t="s">
        <v>390</v>
      </c>
      <c r="D156" s="113" t="s">
        <v>391</v>
      </c>
      <c r="E156" s="110"/>
      <c r="F156" s="3" t="s">
        <v>66</v>
      </c>
      <c r="G156" s="38">
        <v>2</v>
      </c>
      <c r="H156" s="103"/>
      <c r="I156" s="39">
        <v>21</v>
      </c>
      <c r="J156" s="38">
        <f>ROUND(G156*AO156,2)</f>
        <v>0</v>
      </c>
      <c r="K156" s="38">
        <f>ROUND(G156*AP156,2)</f>
        <v>0</v>
      </c>
      <c r="L156" s="38">
        <f>ROUND(G156*H156,2)</f>
        <v>0</v>
      </c>
      <c r="M156" s="38">
        <f>L156*(1+BW156/100)</f>
        <v>0</v>
      </c>
      <c r="N156" s="38">
        <v>3.5999999999999997E-2</v>
      </c>
      <c r="O156" s="38">
        <f>G156*N156</f>
        <v>7.1999999999999995E-2</v>
      </c>
      <c r="P156" s="40" t="s">
        <v>59</v>
      </c>
      <c r="Z156" s="38">
        <f>ROUND(IF(AQ156="5",BJ156,0),2)</f>
        <v>0</v>
      </c>
      <c r="AB156" s="38">
        <f>ROUND(IF(AQ156="1",BH156,0),2)</f>
        <v>0</v>
      </c>
      <c r="AC156" s="38">
        <f>ROUND(IF(AQ156="1",BI156,0),2)</f>
        <v>0</v>
      </c>
      <c r="AD156" s="38">
        <f>ROUND(IF(AQ156="7",BH156,0),2)</f>
        <v>0</v>
      </c>
      <c r="AE156" s="38">
        <f>ROUND(IF(AQ156="7",BI156,0),2)</f>
        <v>0</v>
      </c>
      <c r="AF156" s="38">
        <f>ROUND(IF(AQ156="2",BH156,0),2)</f>
        <v>0</v>
      </c>
      <c r="AG156" s="38">
        <f>ROUND(IF(AQ156="2",BI156,0),2)</f>
        <v>0</v>
      </c>
      <c r="AH156" s="38">
        <f>ROUND(IF(AQ156="0",BJ156,0),2)</f>
        <v>0</v>
      </c>
      <c r="AI156" s="13" t="s">
        <v>51</v>
      </c>
      <c r="AJ156" s="38">
        <f>IF(AN156=0,L156,0)</f>
        <v>0</v>
      </c>
      <c r="AK156" s="38">
        <f>IF(AN156=12,L156,0)</f>
        <v>0</v>
      </c>
      <c r="AL156" s="38">
        <f>IF(AN156=21,L156,0)</f>
        <v>0</v>
      </c>
      <c r="AN156" s="38">
        <v>21</v>
      </c>
      <c r="AO156" s="38">
        <f>H156*1</f>
        <v>0</v>
      </c>
      <c r="AP156" s="38">
        <f>H156*(1-1)</f>
        <v>0</v>
      </c>
      <c r="AQ156" s="41" t="s">
        <v>84</v>
      </c>
      <c r="AV156" s="38">
        <f>ROUND(AW156+AX156,2)</f>
        <v>0</v>
      </c>
      <c r="AW156" s="38">
        <f>ROUND(G156*AO156,2)</f>
        <v>0</v>
      </c>
      <c r="AX156" s="38">
        <f>ROUND(G156*AP156,2)</f>
        <v>0</v>
      </c>
      <c r="AY156" s="41" t="s">
        <v>341</v>
      </c>
      <c r="AZ156" s="41" t="s">
        <v>280</v>
      </c>
      <c r="BA156" s="13" t="s">
        <v>62</v>
      </c>
      <c r="BC156" s="38">
        <f>AW156+AX156</f>
        <v>0</v>
      </c>
      <c r="BD156" s="38">
        <f>H156/(100-BE156)*100</f>
        <v>0</v>
      </c>
      <c r="BE156" s="38">
        <v>0</v>
      </c>
      <c r="BF156" s="38">
        <f>O156</f>
        <v>7.1999999999999995E-2</v>
      </c>
      <c r="BH156" s="38">
        <f>G156*AO156</f>
        <v>0</v>
      </c>
      <c r="BI156" s="38">
        <f>G156*AP156</f>
        <v>0</v>
      </c>
      <c r="BJ156" s="38">
        <f>G156*H156</f>
        <v>0</v>
      </c>
      <c r="BK156" s="38"/>
      <c r="BL156" s="38">
        <v>725</v>
      </c>
      <c r="BW156" s="38">
        <f>I156</f>
        <v>21</v>
      </c>
      <c r="BX156" s="5" t="s">
        <v>391</v>
      </c>
    </row>
    <row r="157" spans="1:76" ht="25.5" x14ac:dyDescent="0.25">
      <c r="A157" s="42"/>
      <c r="C157" s="43" t="s">
        <v>67</v>
      </c>
      <c r="D157" s="179" t="s">
        <v>392</v>
      </c>
      <c r="E157" s="180"/>
      <c r="F157" s="180"/>
      <c r="G157" s="180"/>
      <c r="H157" s="180"/>
      <c r="I157" s="180"/>
      <c r="J157" s="180"/>
      <c r="K157" s="180"/>
      <c r="L157" s="180"/>
      <c r="M157" s="180"/>
      <c r="N157" s="180"/>
      <c r="O157" s="180"/>
      <c r="P157" s="181"/>
      <c r="BX157" s="44" t="s">
        <v>392</v>
      </c>
    </row>
    <row r="158" spans="1:76" x14ac:dyDescent="0.25">
      <c r="A158" s="2" t="s">
        <v>393</v>
      </c>
      <c r="B158" s="3" t="s">
        <v>51</v>
      </c>
      <c r="C158" s="3" t="s">
        <v>394</v>
      </c>
      <c r="D158" s="113" t="s">
        <v>395</v>
      </c>
      <c r="E158" s="110"/>
      <c r="F158" s="3" t="s">
        <v>118</v>
      </c>
      <c r="G158" s="38">
        <v>2</v>
      </c>
      <c r="H158" s="103"/>
      <c r="I158" s="39">
        <v>21</v>
      </c>
      <c r="J158" s="38">
        <f>ROUND(G158*AO158,2)</f>
        <v>0</v>
      </c>
      <c r="K158" s="38">
        <f>ROUND(G158*AP158,2)</f>
        <v>0</v>
      </c>
      <c r="L158" s="38">
        <f>ROUND(G158*H158,2)</f>
        <v>0</v>
      </c>
      <c r="M158" s="38">
        <f>L158*(1+BW158/100)</f>
        <v>0</v>
      </c>
      <c r="N158" s="38">
        <v>1.41E-3</v>
      </c>
      <c r="O158" s="38">
        <f>G158*N158</f>
        <v>2.82E-3</v>
      </c>
      <c r="P158" s="40" t="s">
        <v>59</v>
      </c>
      <c r="Z158" s="38">
        <f>ROUND(IF(AQ158="5",BJ158,0),2)</f>
        <v>0</v>
      </c>
      <c r="AB158" s="38">
        <f>ROUND(IF(AQ158="1",BH158,0),2)</f>
        <v>0</v>
      </c>
      <c r="AC158" s="38">
        <f>ROUND(IF(AQ158="1",BI158,0),2)</f>
        <v>0</v>
      </c>
      <c r="AD158" s="38">
        <f>ROUND(IF(AQ158="7",BH158,0),2)</f>
        <v>0</v>
      </c>
      <c r="AE158" s="38">
        <f>ROUND(IF(AQ158="7",BI158,0),2)</f>
        <v>0</v>
      </c>
      <c r="AF158" s="38">
        <f>ROUND(IF(AQ158="2",BH158,0),2)</f>
        <v>0</v>
      </c>
      <c r="AG158" s="38">
        <f>ROUND(IF(AQ158="2",BI158,0),2)</f>
        <v>0</v>
      </c>
      <c r="AH158" s="38">
        <f>ROUND(IF(AQ158="0",BJ158,0),2)</f>
        <v>0</v>
      </c>
      <c r="AI158" s="13" t="s">
        <v>51</v>
      </c>
      <c r="AJ158" s="38">
        <f>IF(AN158=0,L158,0)</f>
        <v>0</v>
      </c>
      <c r="AK158" s="38">
        <f>IF(AN158=12,L158,0)</f>
        <v>0</v>
      </c>
      <c r="AL158" s="38">
        <f>IF(AN158=21,L158,0)</f>
        <v>0</v>
      </c>
      <c r="AN158" s="38">
        <v>21</v>
      </c>
      <c r="AO158" s="38">
        <f>H158*0.149504432</f>
        <v>0</v>
      </c>
      <c r="AP158" s="38">
        <f>H158*(1-0.149504432)</f>
        <v>0</v>
      </c>
      <c r="AQ158" s="41" t="s">
        <v>84</v>
      </c>
      <c r="AV158" s="38">
        <f>ROUND(AW158+AX158,2)</f>
        <v>0</v>
      </c>
      <c r="AW158" s="38">
        <f>ROUND(G158*AO158,2)</f>
        <v>0</v>
      </c>
      <c r="AX158" s="38">
        <f>ROUND(G158*AP158,2)</f>
        <v>0</v>
      </c>
      <c r="AY158" s="41" t="s">
        <v>341</v>
      </c>
      <c r="AZ158" s="41" t="s">
        <v>280</v>
      </c>
      <c r="BA158" s="13" t="s">
        <v>62</v>
      </c>
      <c r="BC158" s="38">
        <f>AW158+AX158</f>
        <v>0</v>
      </c>
      <c r="BD158" s="38">
        <f>H158/(100-BE158)*100</f>
        <v>0</v>
      </c>
      <c r="BE158" s="38">
        <v>0</v>
      </c>
      <c r="BF158" s="38">
        <f>O158</f>
        <v>2.82E-3</v>
      </c>
      <c r="BH158" s="38">
        <f>G158*AO158</f>
        <v>0</v>
      </c>
      <c r="BI158" s="38">
        <f>G158*AP158</f>
        <v>0</v>
      </c>
      <c r="BJ158" s="38">
        <f>G158*H158</f>
        <v>0</v>
      </c>
      <c r="BK158" s="38"/>
      <c r="BL158" s="38">
        <v>725</v>
      </c>
      <c r="BW158" s="38">
        <f>I158</f>
        <v>21</v>
      </c>
      <c r="BX158" s="5" t="s">
        <v>395</v>
      </c>
    </row>
    <row r="159" spans="1:76" ht="25.5" x14ac:dyDescent="0.25">
      <c r="A159" s="2" t="s">
        <v>396</v>
      </c>
      <c r="B159" s="3" t="s">
        <v>51</v>
      </c>
      <c r="C159" s="3" t="s">
        <v>397</v>
      </c>
      <c r="D159" s="113" t="s">
        <v>398</v>
      </c>
      <c r="E159" s="110"/>
      <c r="F159" s="3" t="s">
        <v>66</v>
      </c>
      <c r="G159" s="38">
        <v>2</v>
      </c>
      <c r="H159" s="103"/>
      <c r="I159" s="39">
        <v>21</v>
      </c>
      <c r="J159" s="38">
        <f>ROUND(G159*AO159,2)</f>
        <v>0</v>
      </c>
      <c r="K159" s="38">
        <f>ROUND(G159*AP159,2)</f>
        <v>0</v>
      </c>
      <c r="L159" s="38">
        <f>ROUND(G159*H159,2)</f>
        <v>0</v>
      </c>
      <c r="M159" s="38">
        <f>L159*(1+BW159/100)</f>
        <v>0</v>
      </c>
      <c r="N159" s="38">
        <v>8.0000000000000002E-3</v>
      </c>
      <c r="O159" s="38">
        <f>G159*N159</f>
        <v>1.6E-2</v>
      </c>
      <c r="P159" s="40" t="s">
        <v>114</v>
      </c>
      <c r="Z159" s="38">
        <f>ROUND(IF(AQ159="5",BJ159,0),2)</f>
        <v>0</v>
      </c>
      <c r="AB159" s="38">
        <f>ROUND(IF(AQ159="1",BH159,0),2)</f>
        <v>0</v>
      </c>
      <c r="AC159" s="38">
        <f>ROUND(IF(AQ159="1",BI159,0),2)</f>
        <v>0</v>
      </c>
      <c r="AD159" s="38">
        <f>ROUND(IF(AQ159="7",BH159,0),2)</f>
        <v>0</v>
      </c>
      <c r="AE159" s="38">
        <f>ROUND(IF(AQ159="7",BI159,0),2)</f>
        <v>0</v>
      </c>
      <c r="AF159" s="38">
        <f>ROUND(IF(AQ159="2",BH159,0),2)</f>
        <v>0</v>
      </c>
      <c r="AG159" s="38">
        <f>ROUND(IF(AQ159="2",BI159,0),2)</f>
        <v>0</v>
      </c>
      <c r="AH159" s="38">
        <f>ROUND(IF(AQ159="0",BJ159,0),2)</f>
        <v>0</v>
      </c>
      <c r="AI159" s="13" t="s">
        <v>51</v>
      </c>
      <c r="AJ159" s="38">
        <f>IF(AN159=0,L159,0)</f>
        <v>0</v>
      </c>
      <c r="AK159" s="38">
        <f>IF(AN159=12,L159,0)</f>
        <v>0</v>
      </c>
      <c r="AL159" s="38">
        <f>IF(AN159=21,L159,0)</f>
        <v>0</v>
      </c>
      <c r="AN159" s="38">
        <v>21</v>
      </c>
      <c r="AO159" s="38">
        <f>H159*1</f>
        <v>0</v>
      </c>
      <c r="AP159" s="38">
        <f>H159*(1-1)</f>
        <v>0</v>
      </c>
      <c r="AQ159" s="41" t="s">
        <v>84</v>
      </c>
      <c r="AV159" s="38">
        <f>ROUND(AW159+AX159,2)</f>
        <v>0</v>
      </c>
      <c r="AW159" s="38">
        <f>ROUND(G159*AO159,2)</f>
        <v>0</v>
      </c>
      <c r="AX159" s="38">
        <f>ROUND(G159*AP159,2)</f>
        <v>0</v>
      </c>
      <c r="AY159" s="41" t="s">
        <v>341</v>
      </c>
      <c r="AZ159" s="41" t="s">
        <v>280</v>
      </c>
      <c r="BA159" s="13" t="s">
        <v>62</v>
      </c>
      <c r="BC159" s="38">
        <f>AW159+AX159</f>
        <v>0</v>
      </c>
      <c r="BD159" s="38">
        <f>H159/(100-BE159)*100</f>
        <v>0</v>
      </c>
      <c r="BE159" s="38">
        <v>0</v>
      </c>
      <c r="BF159" s="38">
        <f>O159</f>
        <v>1.6E-2</v>
      </c>
      <c r="BH159" s="38">
        <f>G159*AO159</f>
        <v>0</v>
      </c>
      <c r="BI159" s="38">
        <f>G159*AP159</f>
        <v>0</v>
      </c>
      <c r="BJ159" s="38">
        <f>G159*H159</f>
        <v>0</v>
      </c>
      <c r="BK159" s="38"/>
      <c r="BL159" s="38">
        <v>725</v>
      </c>
      <c r="BW159" s="38">
        <f>I159</f>
        <v>21</v>
      </c>
      <c r="BX159" s="5" t="s">
        <v>398</v>
      </c>
    </row>
    <row r="160" spans="1:76" ht="25.5" x14ac:dyDescent="0.25">
      <c r="A160" s="42"/>
      <c r="C160" s="43" t="s">
        <v>67</v>
      </c>
      <c r="D160" s="179" t="s">
        <v>399</v>
      </c>
      <c r="E160" s="180"/>
      <c r="F160" s="180"/>
      <c r="G160" s="180"/>
      <c r="H160" s="180"/>
      <c r="I160" s="180"/>
      <c r="J160" s="180"/>
      <c r="K160" s="180"/>
      <c r="L160" s="180"/>
      <c r="M160" s="180"/>
      <c r="N160" s="180"/>
      <c r="O160" s="180"/>
      <c r="P160" s="181"/>
      <c r="BX160" s="44" t="s">
        <v>399</v>
      </c>
    </row>
    <row r="161" spans="1:76" x14ac:dyDescent="0.25">
      <c r="A161" s="2" t="s">
        <v>400</v>
      </c>
      <c r="B161" s="3" t="s">
        <v>51</v>
      </c>
      <c r="C161" s="3" t="s">
        <v>401</v>
      </c>
      <c r="D161" s="113" t="s">
        <v>402</v>
      </c>
      <c r="E161" s="110"/>
      <c r="F161" s="3" t="s">
        <v>66</v>
      </c>
      <c r="G161" s="38">
        <v>4</v>
      </c>
      <c r="H161" s="103"/>
      <c r="I161" s="39">
        <v>21</v>
      </c>
      <c r="J161" s="38">
        <f>ROUND(G161*AO161,2)</f>
        <v>0</v>
      </c>
      <c r="K161" s="38">
        <f>ROUND(G161*AP161,2)</f>
        <v>0</v>
      </c>
      <c r="L161" s="38">
        <f>ROUND(G161*H161,2)</f>
        <v>0</v>
      </c>
      <c r="M161" s="38">
        <f>L161*(1+BW161/100)</f>
        <v>0</v>
      </c>
      <c r="N161" s="38">
        <v>0</v>
      </c>
      <c r="O161" s="38">
        <f>G161*N161</f>
        <v>0</v>
      </c>
      <c r="P161" s="40" t="s">
        <v>59</v>
      </c>
      <c r="Z161" s="38">
        <f>ROUND(IF(AQ161="5",BJ161,0),2)</f>
        <v>0</v>
      </c>
      <c r="AB161" s="38">
        <f>ROUND(IF(AQ161="1",BH161,0),2)</f>
        <v>0</v>
      </c>
      <c r="AC161" s="38">
        <f>ROUND(IF(AQ161="1",BI161,0),2)</f>
        <v>0</v>
      </c>
      <c r="AD161" s="38">
        <f>ROUND(IF(AQ161="7",BH161,0),2)</f>
        <v>0</v>
      </c>
      <c r="AE161" s="38">
        <f>ROUND(IF(AQ161="7",BI161,0),2)</f>
        <v>0</v>
      </c>
      <c r="AF161" s="38">
        <f>ROUND(IF(AQ161="2",BH161,0),2)</f>
        <v>0</v>
      </c>
      <c r="AG161" s="38">
        <f>ROUND(IF(AQ161="2",BI161,0),2)</f>
        <v>0</v>
      </c>
      <c r="AH161" s="38">
        <f>ROUND(IF(AQ161="0",BJ161,0),2)</f>
        <v>0</v>
      </c>
      <c r="AI161" s="13" t="s">
        <v>51</v>
      </c>
      <c r="AJ161" s="38">
        <f>IF(AN161=0,L161,0)</f>
        <v>0</v>
      </c>
      <c r="AK161" s="38">
        <f>IF(AN161=12,L161,0)</f>
        <v>0</v>
      </c>
      <c r="AL161" s="38">
        <f>IF(AN161=21,L161,0)</f>
        <v>0</v>
      </c>
      <c r="AN161" s="38">
        <v>21</v>
      </c>
      <c r="AO161" s="38">
        <f>H161*0.855861751</f>
        <v>0</v>
      </c>
      <c r="AP161" s="38">
        <f>H161*(1-0.855861751)</f>
        <v>0</v>
      </c>
      <c r="AQ161" s="41" t="s">
        <v>84</v>
      </c>
      <c r="AV161" s="38">
        <f>ROUND(AW161+AX161,2)</f>
        <v>0</v>
      </c>
      <c r="AW161" s="38">
        <f>ROUND(G161*AO161,2)</f>
        <v>0</v>
      </c>
      <c r="AX161" s="38">
        <f>ROUND(G161*AP161,2)</f>
        <v>0</v>
      </c>
      <c r="AY161" s="41" t="s">
        <v>341</v>
      </c>
      <c r="AZ161" s="41" t="s">
        <v>280</v>
      </c>
      <c r="BA161" s="13" t="s">
        <v>62</v>
      </c>
      <c r="BC161" s="38">
        <f>AW161+AX161</f>
        <v>0</v>
      </c>
      <c r="BD161" s="38">
        <f>H161/(100-BE161)*100</f>
        <v>0</v>
      </c>
      <c r="BE161" s="38">
        <v>0</v>
      </c>
      <c r="BF161" s="38">
        <f>O161</f>
        <v>0</v>
      </c>
      <c r="BH161" s="38">
        <f>G161*AO161</f>
        <v>0</v>
      </c>
      <c r="BI161" s="38">
        <f>G161*AP161</f>
        <v>0</v>
      </c>
      <c r="BJ161" s="38">
        <f>G161*H161</f>
        <v>0</v>
      </c>
      <c r="BK161" s="38"/>
      <c r="BL161" s="38">
        <v>725</v>
      </c>
      <c r="BW161" s="38">
        <f>I161</f>
        <v>21</v>
      </c>
      <c r="BX161" s="5" t="s">
        <v>402</v>
      </c>
    </row>
    <row r="162" spans="1:76" x14ac:dyDescent="0.25">
      <c r="A162" s="2" t="s">
        <v>403</v>
      </c>
      <c r="B162" s="3" t="s">
        <v>51</v>
      </c>
      <c r="C162" s="3" t="s">
        <v>404</v>
      </c>
      <c r="D162" s="113" t="s">
        <v>405</v>
      </c>
      <c r="E162" s="110"/>
      <c r="F162" s="3" t="s">
        <v>66</v>
      </c>
      <c r="G162" s="38">
        <v>6</v>
      </c>
      <c r="H162" s="103"/>
      <c r="I162" s="39">
        <v>21</v>
      </c>
      <c r="J162" s="38">
        <f>ROUND(G162*AO162,2)</f>
        <v>0</v>
      </c>
      <c r="K162" s="38">
        <f>ROUND(G162*AP162,2)</f>
        <v>0</v>
      </c>
      <c r="L162" s="38">
        <f>ROUND(G162*H162,2)</f>
        <v>0</v>
      </c>
      <c r="M162" s="38">
        <f>L162*(1+BW162/100)</f>
        <v>0</v>
      </c>
      <c r="N162" s="38">
        <v>4.0000000000000003E-5</v>
      </c>
      <c r="O162" s="38">
        <f>G162*N162</f>
        <v>2.4000000000000003E-4</v>
      </c>
      <c r="P162" s="40" t="s">
        <v>59</v>
      </c>
      <c r="Z162" s="38">
        <f>ROUND(IF(AQ162="5",BJ162,0),2)</f>
        <v>0</v>
      </c>
      <c r="AB162" s="38">
        <f>ROUND(IF(AQ162="1",BH162,0),2)</f>
        <v>0</v>
      </c>
      <c r="AC162" s="38">
        <f>ROUND(IF(AQ162="1",BI162,0),2)</f>
        <v>0</v>
      </c>
      <c r="AD162" s="38">
        <f>ROUND(IF(AQ162="7",BH162,0),2)</f>
        <v>0</v>
      </c>
      <c r="AE162" s="38">
        <f>ROUND(IF(AQ162="7",BI162,0),2)</f>
        <v>0</v>
      </c>
      <c r="AF162" s="38">
        <f>ROUND(IF(AQ162="2",BH162,0),2)</f>
        <v>0</v>
      </c>
      <c r="AG162" s="38">
        <f>ROUND(IF(AQ162="2",BI162,0),2)</f>
        <v>0</v>
      </c>
      <c r="AH162" s="38">
        <f>ROUND(IF(AQ162="0",BJ162,0),2)</f>
        <v>0</v>
      </c>
      <c r="AI162" s="13" t="s">
        <v>51</v>
      </c>
      <c r="AJ162" s="38">
        <f>IF(AN162=0,L162,0)</f>
        <v>0</v>
      </c>
      <c r="AK162" s="38">
        <f>IF(AN162=12,L162,0)</f>
        <v>0</v>
      </c>
      <c r="AL162" s="38">
        <f>IF(AN162=21,L162,0)</f>
        <v>0</v>
      </c>
      <c r="AN162" s="38">
        <v>21</v>
      </c>
      <c r="AO162" s="38">
        <f>H162*0.031931624</f>
        <v>0</v>
      </c>
      <c r="AP162" s="38">
        <f>H162*(1-0.031931624)</f>
        <v>0</v>
      </c>
      <c r="AQ162" s="41" t="s">
        <v>84</v>
      </c>
      <c r="AV162" s="38">
        <f>ROUND(AW162+AX162,2)</f>
        <v>0</v>
      </c>
      <c r="AW162" s="38">
        <f>ROUND(G162*AO162,2)</f>
        <v>0</v>
      </c>
      <c r="AX162" s="38">
        <f>ROUND(G162*AP162,2)</f>
        <v>0</v>
      </c>
      <c r="AY162" s="41" t="s">
        <v>341</v>
      </c>
      <c r="AZ162" s="41" t="s">
        <v>280</v>
      </c>
      <c r="BA162" s="13" t="s">
        <v>62</v>
      </c>
      <c r="BC162" s="38">
        <f>AW162+AX162</f>
        <v>0</v>
      </c>
      <c r="BD162" s="38">
        <f>H162/(100-BE162)*100</f>
        <v>0</v>
      </c>
      <c r="BE162" s="38">
        <v>0</v>
      </c>
      <c r="BF162" s="38">
        <f>O162</f>
        <v>2.4000000000000003E-4</v>
      </c>
      <c r="BH162" s="38">
        <f>G162*AO162</f>
        <v>0</v>
      </c>
      <c r="BI162" s="38">
        <f>G162*AP162</f>
        <v>0</v>
      </c>
      <c r="BJ162" s="38">
        <f>G162*H162</f>
        <v>0</v>
      </c>
      <c r="BK162" s="38"/>
      <c r="BL162" s="38">
        <v>725</v>
      </c>
      <c r="BW162" s="38">
        <f>I162</f>
        <v>21</v>
      </c>
      <c r="BX162" s="5" t="s">
        <v>405</v>
      </c>
    </row>
    <row r="163" spans="1:76" x14ac:dyDescent="0.25">
      <c r="A163" s="2" t="s">
        <v>406</v>
      </c>
      <c r="B163" s="3" t="s">
        <v>51</v>
      </c>
      <c r="C163" s="3" t="s">
        <v>407</v>
      </c>
      <c r="D163" s="113" t="s">
        <v>408</v>
      </c>
      <c r="E163" s="110"/>
      <c r="F163" s="3" t="s">
        <v>66</v>
      </c>
      <c r="G163" s="38">
        <v>2</v>
      </c>
      <c r="H163" s="103"/>
      <c r="I163" s="39">
        <v>21</v>
      </c>
      <c r="J163" s="38">
        <f>ROUND(G163*AO163,2)</f>
        <v>0</v>
      </c>
      <c r="K163" s="38">
        <f>ROUND(G163*AP163,2)</f>
        <v>0</v>
      </c>
      <c r="L163" s="38">
        <f>ROUND(G163*H163,2)</f>
        <v>0</v>
      </c>
      <c r="M163" s="38">
        <f>L163*(1+BW163/100)</f>
        <v>0</v>
      </c>
      <c r="N163" s="38">
        <v>8.4999999999999995E-4</v>
      </c>
      <c r="O163" s="38">
        <f>G163*N163</f>
        <v>1.6999999999999999E-3</v>
      </c>
      <c r="P163" s="40" t="s">
        <v>59</v>
      </c>
      <c r="Z163" s="38">
        <f>ROUND(IF(AQ163="5",BJ163,0),2)</f>
        <v>0</v>
      </c>
      <c r="AB163" s="38">
        <f>ROUND(IF(AQ163="1",BH163,0),2)</f>
        <v>0</v>
      </c>
      <c r="AC163" s="38">
        <f>ROUND(IF(AQ163="1",BI163,0),2)</f>
        <v>0</v>
      </c>
      <c r="AD163" s="38">
        <f>ROUND(IF(AQ163="7",BH163,0),2)</f>
        <v>0</v>
      </c>
      <c r="AE163" s="38">
        <f>ROUND(IF(AQ163="7",BI163,0),2)</f>
        <v>0</v>
      </c>
      <c r="AF163" s="38">
        <f>ROUND(IF(AQ163="2",BH163,0),2)</f>
        <v>0</v>
      </c>
      <c r="AG163" s="38">
        <f>ROUND(IF(AQ163="2",BI163,0),2)</f>
        <v>0</v>
      </c>
      <c r="AH163" s="38">
        <f>ROUND(IF(AQ163="0",BJ163,0),2)</f>
        <v>0</v>
      </c>
      <c r="AI163" s="13" t="s">
        <v>51</v>
      </c>
      <c r="AJ163" s="38">
        <f>IF(AN163=0,L163,0)</f>
        <v>0</v>
      </c>
      <c r="AK163" s="38">
        <f>IF(AN163=12,L163,0)</f>
        <v>0</v>
      </c>
      <c r="AL163" s="38">
        <f>IF(AN163=21,L163,0)</f>
        <v>0</v>
      </c>
      <c r="AN163" s="38">
        <v>21</v>
      </c>
      <c r="AO163" s="38">
        <f>H163*0.884522449</f>
        <v>0</v>
      </c>
      <c r="AP163" s="38">
        <f>H163*(1-0.884522449)</f>
        <v>0</v>
      </c>
      <c r="AQ163" s="41" t="s">
        <v>84</v>
      </c>
      <c r="AV163" s="38">
        <f>ROUND(AW163+AX163,2)</f>
        <v>0</v>
      </c>
      <c r="AW163" s="38">
        <f>ROUND(G163*AO163,2)</f>
        <v>0</v>
      </c>
      <c r="AX163" s="38">
        <f>ROUND(G163*AP163,2)</f>
        <v>0</v>
      </c>
      <c r="AY163" s="41" t="s">
        <v>341</v>
      </c>
      <c r="AZ163" s="41" t="s">
        <v>280</v>
      </c>
      <c r="BA163" s="13" t="s">
        <v>62</v>
      </c>
      <c r="BC163" s="38">
        <f>AW163+AX163</f>
        <v>0</v>
      </c>
      <c r="BD163" s="38">
        <f>H163/(100-BE163)*100</f>
        <v>0</v>
      </c>
      <c r="BE163" s="38">
        <v>0</v>
      </c>
      <c r="BF163" s="38">
        <f>O163</f>
        <v>1.6999999999999999E-3</v>
      </c>
      <c r="BH163" s="38">
        <f>G163*AO163</f>
        <v>0</v>
      </c>
      <c r="BI163" s="38">
        <f>G163*AP163</f>
        <v>0</v>
      </c>
      <c r="BJ163" s="38">
        <f>G163*H163</f>
        <v>0</v>
      </c>
      <c r="BK163" s="38"/>
      <c r="BL163" s="38">
        <v>725</v>
      </c>
      <c r="BW163" s="38">
        <f>I163</f>
        <v>21</v>
      </c>
      <c r="BX163" s="5" t="s">
        <v>408</v>
      </c>
    </row>
    <row r="164" spans="1:76" ht="25.5" x14ac:dyDescent="0.25">
      <c r="A164" s="2" t="s">
        <v>409</v>
      </c>
      <c r="B164" s="3" t="s">
        <v>51</v>
      </c>
      <c r="C164" s="3" t="s">
        <v>410</v>
      </c>
      <c r="D164" s="113" t="s">
        <v>411</v>
      </c>
      <c r="E164" s="110"/>
      <c r="F164" s="3" t="s">
        <v>66</v>
      </c>
      <c r="G164" s="38">
        <v>4</v>
      </c>
      <c r="H164" s="103"/>
      <c r="I164" s="39">
        <v>21</v>
      </c>
      <c r="J164" s="38">
        <f>ROUND(G164*AO164,2)</f>
        <v>0</v>
      </c>
      <c r="K164" s="38">
        <f>ROUND(G164*AP164,2)</f>
        <v>0</v>
      </c>
      <c r="L164" s="38">
        <f>ROUND(G164*H164,2)</f>
        <v>0</v>
      </c>
      <c r="M164" s="38">
        <f>L164*(1+BW164/100)</f>
        <v>0</v>
      </c>
      <c r="N164" s="38">
        <v>1.8E-3</v>
      </c>
      <c r="O164" s="38">
        <f>G164*N164</f>
        <v>7.1999999999999998E-3</v>
      </c>
      <c r="P164" s="40" t="s">
        <v>114</v>
      </c>
      <c r="Z164" s="38">
        <f>ROUND(IF(AQ164="5",BJ164,0),2)</f>
        <v>0</v>
      </c>
      <c r="AB164" s="38">
        <f>ROUND(IF(AQ164="1",BH164,0),2)</f>
        <v>0</v>
      </c>
      <c r="AC164" s="38">
        <f>ROUND(IF(AQ164="1",BI164,0),2)</f>
        <v>0</v>
      </c>
      <c r="AD164" s="38">
        <f>ROUND(IF(AQ164="7",BH164,0),2)</f>
        <v>0</v>
      </c>
      <c r="AE164" s="38">
        <f>ROUND(IF(AQ164="7",BI164,0),2)</f>
        <v>0</v>
      </c>
      <c r="AF164" s="38">
        <f>ROUND(IF(AQ164="2",BH164,0),2)</f>
        <v>0</v>
      </c>
      <c r="AG164" s="38">
        <f>ROUND(IF(AQ164="2",BI164,0),2)</f>
        <v>0</v>
      </c>
      <c r="AH164" s="38">
        <f>ROUND(IF(AQ164="0",BJ164,0),2)</f>
        <v>0</v>
      </c>
      <c r="AI164" s="13" t="s">
        <v>51</v>
      </c>
      <c r="AJ164" s="38">
        <f>IF(AN164=0,L164,0)</f>
        <v>0</v>
      </c>
      <c r="AK164" s="38">
        <f>IF(AN164=12,L164,0)</f>
        <v>0</v>
      </c>
      <c r="AL164" s="38">
        <f>IF(AN164=21,L164,0)</f>
        <v>0</v>
      </c>
      <c r="AN164" s="38">
        <v>21</v>
      </c>
      <c r="AO164" s="38">
        <f>H164*0.961249655</f>
        <v>0</v>
      </c>
      <c r="AP164" s="38">
        <f>H164*(1-0.961249655)</f>
        <v>0</v>
      </c>
      <c r="AQ164" s="41" t="s">
        <v>84</v>
      </c>
      <c r="AV164" s="38">
        <f>ROUND(AW164+AX164,2)</f>
        <v>0</v>
      </c>
      <c r="AW164" s="38">
        <f>ROUND(G164*AO164,2)</f>
        <v>0</v>
      </c>
      <c r="AX164" s="38">
        <f>ROUND(G164*AP164,2)</f>
        <v>0</v>
      </c>
      <c r="AY164" s="41" t="s">
        <v>341</v>
      </c>
      <c r="AZ164" s="41" t="s">
        <v>280</v>
      </c>
      <c r="BA164" s="13" t="s">
        <v>62</v>
      </c>
      <c r="BC164" s="38">
        <f>AW164+AX164</f>
        <v>0</v>
      </c>
      <c r="BD164" s="38">
        <f>H164/(100-BE164)*100</f>
        <v>0</v>
      </c>
      <c r="BE164" s="38">
        <v>0</v>
      </c>
      <c r="BF164" s="38">
        <f>O164</f>
        <v>7.1999999999999998E-3</v>
      </c>
      <c r="BH164" s="38">
        <f>G164*AO164</f>
        <v>0</v>
      </c>
      <c r="BI164" s="38">
        <f>G164*AP164</f>
        <v>0</v>
      </c>
      <c r="BJ164" s="38">
        <f>G164*H164</f>
        <v>0</v>
      </c>
      <c r="BK164" s="38"/>
      <c r="BL164" s="38">
        <v>725</v>
      </c>
      <c r="BW164" s="38">
        <f>I164</f>
        <v>21</v>
      </c>
      <c r="BX164" s="5" t="s">
        <v>411</v>
      </c>
    </row>
    <row r="165" spans="1:76" ht="27" customHeight="1" x14ac:dyDescent="0.25">
      <c r="A165" s="42"/>
      <c r="C165" s="43" t="s">
        <v>87</v>
      </c>
      <c r="D165" s="179" t="s">
        <v>412</v>
      </c>
      <c r="E165" s="180"/>
      <c r="F165" s="180"/>
      <c r="G165" s="180"/>
      <c r="H165" s="180"/>
      <c r="I165" s="180"/>
      <c r="J165" s="180"/>
      <c r="K165" s="180"/>
      <c r="L165" s="180"/>
      <c r="M165" s="180"/>
      <c r="N165" s="180"/>
      <c r="O165" s="180"/>
      <c r="P165" s="181"/>
    </row>
    <row r="166" spans="1:76" x14ac:dyDescent="0.25">
      <c r="A166" s="2" t="s">
        <v>53</v>
      </c>
      <c r="B166" s="3" t="s">
        <v>51</v>
      </c>
      <c r="C166" s="3" t="s">
        <v>413</v>
      </c>
      <c r="D166" s="113" t="s">
        <v>414</v>
      </c>
      <c r="E166" s="110"/>
      <c r="F166" s="3" t="s">
        <v>118</v>
      </c>
      <c r="G166" s="38">
        <v>2</v>
      </c>
      <c r="H166" s="103"/>
      <c r="I166" s="39">
        <v>21</v>
      </c>
      <c r="J166" s="38">
        <f>ROUND(G166*AO166,2)</f>
        <v>0</v>
      </c>
      <c r="K166" s="38">
        <f>ROUND(G166*AP166,2)</f>
        <v>0</v>
      </c>
      <c r="L166" s="38">
        <f>ROUND(G166*H166,2)</f>
        <v>0</v>
      </c>
      <c r="M166" s="38">
        <f>L166*(1+BW166/100)</f>
        <v>0</v>
      </c>
      <c r="N166" s="38">
        <v>7.6000000000000004E-4</v>
      </c>
      <c r="O166" s="38">
        <f>G166*N166</f>
        <v>1.5200000000000001E-3</v>
      </c>
      <c r="P166" s="40" t="s">
        <v>114</v>
      </c>
      <c r="Z166" s="38">
        <f>ROUND(IF(AQ166="5",BJ166,0),2)</f>
        <v>0</v>
      </c>
      <c r="AB166" s="38">
        <f>ROUND(IF(AQ166="1",BH166,0),2)</f>
        <v>0</v>
      </c>
      <c r="AC166" s="38">
        <f>ROUND(IF(AQ166="1",BI166,0),2)</f>
        <v>0</v>
      </c>
      <c r="AD166" s="38">
        <f>ROUND(IF(AQ166="7",BH166,0),2)</f>
        <v>0</v>
      </c>
      <c r="AE166" s="38">
        <f>ROUND(IF(AQ166="7",BI166,0),2)</f>
        <v>0</v>
      </c>
      <c r="AF166" s="38">
        <f>ROUND(IF(AQ166="2",BH166,0),2)</f>
        <v>0</v>
      </c>
      <c r="AG166" s="38">
        <f>ROUND(IF(AQ166="2",BI166,0),2)</f>
        <v>0</v>
      </c>
      <c r="AH166" s="38">
        <f>ROUND(IF(AQ166="0",BJ166,0),2)</f>
        <v>0</v>
      </c>
      <c r="AI166" s="13" t="s">
        <v>51</v>
      </c>
      <c r="AJ166" s="38">
        <f>IF(AN166=0,L166,0)</f>
        <v>0</v>
      </c>
      <c r="AK166" s="38">
        <f>IF(AN166=12,L166,0)</f>
        <v>0</v>
      </c>
      <c r="AL166" s="38">
        <f>IF(AN166=21,L166,0)</f>
        <v>0</v>
      </c>
      <c r="AN166" s="38">
        <v>21</v>
      </c>
      <c r="AO166" s="38">
        <f>H166*0.849426667</f>
        <v>0</v>
      </c>
      <c r="AP166" s="38">
        <f>H166*(1-0.849426667)</f>
        <v>0</v>
      </c>
      <c r="AQ166" s="41" t="s">
        <v>84</v>
      </c>
      <c r="AV166" s="38">
        <f>ROUND(AW166+AX166,2)</f>
        <v>0</v>
      </c>
      <c r="AW166" s="38">
        <f>ROUND(G166*AO166,2)</f>
        <v>0</v>
      </c>
      <c r="AX166" s="38">
        <f>ROUND(G166*AP166,2)</f>
        <v>0</v>
      </c>
      <c r="AY166" s="41" t="s">
        <v>341</v>
      </c>
      <c r="AZ166" s="41" t="s">
        <v>280</v>
      </c>
      <c r="BA166" s="13" t="s">
        <v>62</v>
      </c>
      <c r="BC166" s="38">
        <f>AW166+AX166</f>
        <v>0</v>
      </c>
      <c r="BD166" s="38">
        <f>H166/(100-BE166)*100</f>
        <v>0</v>
      </c>
      <c r="BE166" s="38">
        <v>0</v>
      </c>
      <c r="BF166" s="38">
        <f>O166</f>
        <v>1.5200000000000001E-3</v>
      </c>
      <c r="BH166" s="38">
        <f>G166*AO166</f>
        <v>0</v>
      </c>
      <c r="BI166" s="38">
        <f>G166*AP166</f>
        <v>0</v>
      </c>
      <c r="BJ166" s="38">
        <f>G166*H166</f>
        <v>0</v>
      </c>
      <c r="BK166" s="38"/>
      <c r="BL166" s="38">
        <v>725</v>
      </c>
      <c r="BW166" s="38">
        <f>I166</f>
        <v>21</v>
      </c>
      <c r="BX166" s="5" t="s">
        <v>414</v>
      </c>
    </row>
    <row r="167" spans="1:76" x14ac:dyDescent="0.25">
      <c r="A167" s="2" t="s">
        <v>415</v>
      </c>
      <c r="B167" s="3" t="s">
        <v>51</v>
      </c>
      <c r="C167" s="3" t="s">
        <v>416</v>
      </c>
      <c r="D167" s="113" t="s">
        <v>417</v>
      </c>
      <c r="E167" s="110"/>
      <c r="F167" s="3" t="s">
        <v>118</v>
      </c>
      <c r="G167" s="38">
        <v>2</v>
      </c>
      <c r="H167" s="103"/>
      <c r="I167" s="39">
        <v>21</v>
      </c>
      <c r="J167" s="38">
        <f>ROUND(G167*AO167,2)</f>
        <v>0</v>
      </c>
      <c r="K167" s="38">
        <f>ROUND(G167*AP167,2)</f>
        <v>0</v>
      </c>
      <c r="L167" s="38">
        <f>ROUND(G167*H167,2)</f>
        <v>0</v>
      </c>
      <c r="M167" s="38">
        <f>L167*(1+BW167/100)</f>
        <v>0</v>
      </c>
      <c r="N167" s="38">
        <v>8.7000000000000001E-4</v>
      </c>
      <c r="O167" s="38">
        <f>G167*N167</f>
        <v>1.74E-3</v>
      </c>
      <c r="P167" s="40" t="s">
        <v>59</v>
      </c>
      <c r="Z167" s="38">
        <f>ROUND(IF(AQ167="5",BJ167,0),2)</f>
        <v>0</v>
      </c>
      <c r="AB167" s="38">
        <f>ROUND(IF(AQ167="1",BH167,0),2)</f>
        <v>0</v>
      </c>
      <c r="AC167" s="38">
        <f>ROUND(IF(AQ167="1",BI167,0),2)</f>
        <v>0</v>
      </c>
      <c r="AD167" s="38">
        <f>ROUND(IF(AQ167="7",BH167,0),2)</f>
        <v>0</v>
      </c>
      <c r="AE167" s="38">
        <f>ROUND(IF(AQ167="7",BI167,0),2)</f>
        <v>0</v>
      </c>
      <c r="AF167" s="38">
        <f>ROUND(IF(AQ167="2",BH167,0),2)</f>
        <v>0</v>
      </c>
      <c r="AG167" s="38">
        <f>ROUND(IF(AQ167="2",BI167,0),2)</f>
        <v>0</v>
      </c>
      <c r="AH167" s="38">
        <f>ROUND(IF(AQ167="0",BJ167,0),2)</f>
        <v>0</v>
      </c>
      <c r="AI167" s="13" t="s">
        <v>51</v>
      </c>
      <c r="AJ167" s="38">
        <f>IF(AN167=0,L167,0)</f>
        <v>0</v>
      </c>
      <c r="AK167" s="38">
        <f>IF(AN167=12,L167,0)</f>
        <v>0</v>
      </c>
      <c r="AL167" s="38">
        <f>IF(AN167=21,L167,0)</f>
        <v>0</v>
      </c>
      <c r="AN167" s="38">
        <v>21</v>
      </c>
      <c r="AO167" s="38">
        <f>H167*0.217154472</f>
        <v>0</v>
      </c>
      <c r="AP167" s="38">
        <f>H167*(1-0.217154472)</f>
        <v>0</v>
      </c>
      <c r="AQ167" s="41" t="s">
        <v>84</v>
      </c>
      <c r="AV167" s="38">
        <f>ROUND(AW167+AX167,2)</f>
        <v>0</v>
      </c>
      <c r="AW167" s="38">
        <f>ROUND(G167*AO167,2)</f>
        <v>0</v>
      </c>
      <c r="AX167" s="38">
        <f>ROUND(G167*AP167,2)</f>
        <v>0</v>
      </c>
      <c r="AY167" s="41" t="s">
        <v>341</v>
      </c>
      <c r="AZ167" s="41" t="s">
        <v>280</v>
      </c>
      <c r="BA167" s="13" t="s">
        <v>62</v>
      </c>
      <c r="BC167" s="38">
        <f>AW167+AX167</f>
        <v>0</v>
      </c>
      <c r="BD167" s="38">
        <f>H167/(100-BE167)*100</f>
        <v>0</v>
      </c>
      <c r="BE167" s="38">
        <v>0</v>
      </c>
      <c r="BF167" s="38">
        <f>O167</f>
        <v>1.74E-3</v>
      </c>
      <c r="BH167" s="38">
        <f>G167*AO167</f>
        <v>0</v>
      </c>
      <c r="BI167" s="38">
        <f>G167*AP167</f>
        <v>0</v>
      </c>
      <c r="BJ167" s="38">
        <f>G167*H167</f>
        <v>0</v>
      </c>
      <c r="BK167" s="38"/>
      <c r="BL167" s="38">
        <v>725</v>
      </c>
      <c r="BW167" s="38">
        <f>I167</f>
        <v>21</v>
      </c>
      <c r="BX167" s="5" t="s">
        <v>417</v>
      </c>
    </row>
    <row r="168" spans="1:76" ht="25.5" x14ac:dyDescent="0.25">
      <c r="A168" s="42"/>
      <c r="C168" s="43" t="s">
        <v>67</v>
      </c>
      <c r="D168" s="179" t="s">
        <v>418</v>
      </c>
      <c r="E168" s="180"/>
      <c r="F168" s="180"/>
      <c r="G168" s="180"/>
      <c r="H168" s="180"/>
      <c r="I168" s="180"/>
      <c r="J168" s="180"/>
      <c r="K168" s="180"/>
      <c r="L168" s="180"/>
      <c r="M168" s="180"/>
      <c r="N168" s="180"/>
      <c r="O168" s="180"/>
      <c r="P168" s="181"/>
      <c r="BX168" s="44" t="s">
        <v>418</v>
      </c>
    </row>
    <row r="169" spans="1:76" x14ac:dyDescent="0.25">
      <c r="A169" s="2" t="s">
        <v>419</v>
      </c>
      <c r="B169" s="3" t="s">
        <v>51</v>
      </c>
      <c r="C169" s="3" t="s">
        <v>420</v>
      </c>
      <c r="D169" s="113" t="s">
        <v>421</v>
      </c>
      <c r="E169" s="110"/>
      <c r="F169" s="3" t="s">
        <v>118</v>
      </c>
      <c r="G169" s="38">
        <v>2</v>
      </c>
      <c r="H169" s="103"/>
      <c r="I169" s="39">
        <v>21</v>
      </c>
      <c r="J169" s="38">
        <f>ROUND(G169*AO169,2)</f>
        <v>0</v>
      </c>
      <c r="K169" s="38">
        <f>ROUND(G169*AP169,2)</f>
        <v>0</v>
      </c>
      <c r="L169" s="38">
        <f>ROUND(G169*H169,2)</f>
        <v>0</v>
      </c>
      <c r="M169" s="38">
        <f>L169*(1+BW169/100)</f>
        <v>0</v>
      </c>
      <c r="N169" s="38">
        <v>1.9869999999999999E-2</v>
      </c>
      <c r="O169" s="38">
        <f>G169*N169</f>
        <v>3.9739999999999998E-2</v>
      </c>
      <c r="P169" s="40" t="s">
        <v>114</v>
      </c>
      <c r="Z169" s="38">
        <f>ROUND(IF(AQ169="5",BJ169,0),2)</f>
        <v>0</v>
      </c>
      <c r="AB169" s="38">
        <f>ROUND(IF(AQ169="1",BH169,0),2)</f>
        <v>0</v>
      </c>
      <c r="AC169" s="38">
        <f>ROUND(IF(AQ169="1",BI169,0),2)</f>
        <v>0</v>
      </c>
      <c r="AD169" s="38">
        <f>ROUND(IF(AQ169="7",BH169,0),2)</f>
        <v>0</v>
      </c>
      <c r="AE169" s="38">
        <f>ROUND(IF(AQ169="7",BI169,0),2)</f>
        <v>0</v>
      </c>
      <c r="AF169" s="38">
        <f>ROUND(IF(AQ169="2",BH169,0),2)</f>
        <v>0</v>
      </c>
      <c r="AG169" s="38">
        <f>ROUND(IF(AQ169="2",BI169,0),2)</f>
        <v>0</v>
      </c>
      <c r="AH169" s="38">
        <f>ROUND(IF(AQ169="0",BJ169,0),2)</f>
        <v>0</v>
      </c>
      <c r="AI169" s="13" t="s">
        <v>51</v>
      </c>
      <c r="AJ169" s="38">
        <f>IF(AN169=0,L169,0)</f>
        <v>0</v>
      </c>
      <c r="AK169" s="38">
        <f>IF(AN169=12,L169,0)</f>
        <v>0</v>
      </c>
      <c r="AL169" s="38">
        <f>IF(AN169=21,L169,0)</f>
        <v>0</v>
      </c>
      <c r="AN169" s="38">
        <v>21</v>
      </c>
      <c r="AO169" s="38">
        <f>H169*0.871904762</f>
        <v>0</v>
      </c>
      <c r="AP169" s="38">
        <f>H169*(1-0.871904762)</f>
        <v>0</v>
      </c>
      <c r="AQ169" s="41" t="s">
        <v>84</v>
      </c>
      <c r="AV169" s="38">
        <f>ROUND(AW169+AX169,2)</f>
        <v>0</v>
      </c>
      <c r="AW169" s="38">
        <f>ROUND(G169*AO169,2)</f>
        <v>0</v>
      </c>
      <c r="AX169" s="38">
        <f>ROUND(G169*AP169,2)</f>
        <v>0</v>
      </c>
      <c r="AY169" s="41" t="s">
        <v>341</v>
      </c>
      <c r="AZ169" s="41" t="s">
        <v>280</v>
      </c>
      <c r="BA169" s="13" t="s">
        <v>62</v>
      </c>
      <c r="BC169" s="38">
        <f>AW169+AX169</f>
        <v>0</v>
      </c>
      <c r="BD169" s="38">
        <f>H169/(100-BE169)*100</f>
        <v>0</v>
      </c>
      <c r="BE169" s="38">
        <v>0</v>
      </c>
      <c r="BF169" s="38">
        <f>O169</f>
        <v>3.9739999999999998E-2</v>
      </c>
      <c r="BH169" s="38">
        <f>G169*AO169</f>
        <v>0</v>
      </c>
      <c r="BI169" s="38">
        <f>G169*AP169</f>
        <v>0</v>
      </c>
      <c r="BJ169" s="38">
        <f>G169*H169</f>
        <v>0</v>
      </c>
      <c r="BK169" s="38"/>
      <c r="BL169" s="38">
        <v>725</v>
      </c>
      <c r="BW169" s="38">
        <f>I169</f>
        <v>21</v>
      </c>
      <c r="BX169" s="5" t="s">
        <v>421</v>
      </c>
    </row>
    <row r="170" spans="1:76" ht="25.5" x14ac:dyDescent="0.25">
      <c r="A170" s="42"/>
      <c r="C170" s="43" t="s">
        <v>67</v>
      </c>
      <c r="D170" s="179" t="s">
        <v>422</v>
      </c>
      <c r="E170" s="180"/>
      <c r="F170" s="180"/>
      <c r="G170" s="180"/>
      <c r="H170" s="180"/>
      <c r="I170" s="180"/>
      <c r="J170" s="180"/>
      <c r="K170" s="180"/>
      <c r="L170" s="180"/>
      <c r="M170" s="180"/>
      <c r="N170" s="180"/>
      <c r="O170" s="180"/>
      <c r="P170" s="181"/>
      <c r="BX170" s="44" t="s">
        <v>422</v>
      </c>
    </row>
    <row r="171" spans="1:76" x14ac:dyDescent="0.25">
      <c r="A171" s="33" t="s">
        <v>50</v>
      </c>
      <c r="B171" s="34" t="s">
        <v>51</v>
      </c>
      <c r="C171" s="34" t="s">
        <v>423</v>
      </c>
      <c r="D171" s="191" t="s">
        <v>424</v>
      </c>
      <c r="E171" s="192"/>
      <c r="F171" s="36" t="s">
        <v>4</v>
      </c>
      <c r="G171" s="36" t="s">
        <v>4</v>
      </c>
      <c r="H171" s="36" t="s">
        <v>4</v>
      </c>
      <c r="I171" s="36" t="s">
        <v>4</v>
      </c>
      <c r="J171" s="1">
        <f>SUM(J172:J172)</f>
        <v>0</v>
      </c>
      <c r="K171" s="1">
        <f>SUM(K172:K172)</f>
        <v>0</v>
      </c>
      <c r="L171" s="1">
        <f>SUM(L172:L172)</f>
        <v>0</v>
      </c>
      <c r="M171" s="1">
        <f>SUM(M172:M172)</f>
        <v>0</v>
      </c>
      <c r="N171" s="13" t="s">
        <v>50</v>
      </c>
      <c r="O171" s="1">
        <f>SUM(O172:O172)</f>
        <v>2.5940000000000001E-2</v>
      </c>
      <c r="P171" s="37" t="s">
        <v>50</v>
      </c>
      <c r="AI171" s="13" t="s">
        <v>51</v>
      </c>
      <c r="AS171" s="1">
        <f>SUM(AJ172:AJ172)</f>
        <v>0</v>
      </c>
      <c r="AT171" s="1">
        <f>SUM(AK172:AK172)</f>
        <v>0</v>
      </c>
      <c r="AU171" s="1">
        <f>SUM(AL172:AL172)</f>
        <v>0</v>
      </c>
    </row>
    <row r="172" spans="1:76" x14ac:dyDescent="0.25">
      <c r="A172" s="2" t="s">
        <v>425</v>
      </c>
      <c r="B172" s="3" t="s">
        <v>51</v>
      </c>
      <c r="C172" s="3" t="s">
        <v>426</v>
      </c>
      <c r="D172" s="113" t="s">
        <v>427</v>
      </c>
      <c r="E172" s="110"/>
      <c r="F172" s="3" t="s">
        <v>118</v>
      </c>
      <c r="G172" s="38">
        <v>2</v>
      </c>
      <c r="H172" s="103"/>
      <c r="I172" s="39">
        <v>21</v>
      </c>
      <c r="J172" s="38">
        <f>ROUND(G172*AO172,2)</f>
        <v>0</v>
      </c>
      <c r="K172" s="38">
        <f>ROUND(G172*AP172,2)</f>
        <v>0</v>
      </c>
      <c r="L172" s="38">
        <f>ROUND(G172*H172,2)</f>
        <v>0</v>
      </c>
      <c r="M172" s="38">
        <f>L172*(1+BW172/100)</f>
        <v>0</v>
      </c>
      <c r="N172" s="38">
        <v>1.2970000000000001E-2</v>
      </c>
      <c r="O172" s="38">
        <f>G172*N172</f>
        <v>2.5940000000000001E-2</v>
      </c>
      <c r="P172" s="40" t="s">
        <v>59</v>
      </c>
      <c r="Z172" s="38">
        <f>ROUND(IF(AQ172="5",BJ172,0),2)</f>
        <v>0</v>
      </c>
      <c r="AB172" s="38">
        <f>ROUND(IF(AQ172="1",BH172,0),2)</f>
        <v>0</v>
      </c>
      <c r="AC172" s="38">
        <f>ROUND(IF(AQ172="1",BI172,0),2)</f>
        <v>0</v>
      </c>
      <c r="AD172" s="38">
        <f>ROUND(IF(AQ172="7",BH172,0),2)</f>
        <v>0</v>
      </c>
      <c r="AE172" s="38">
        <f>ROUND(IF(AQ172="7",BI172,0),2)</f>
        <v>0</v>
      </c>
      <c r="AF172" s="38">
        <f>ROUND(IF(AQ172="2",BH172,0),2)</f>
        <v>0</v>
      </c>
      <c r="AG172" s="38">
        <f>ROUND(IF(AQ172="2",BI172,0),2)</f>
        <v>0</v>
      </c>
      <c r="AH172" s="38">
        <f>ROUND(IF(AQ172="0",BJ172,0),2)</f>
        <v>0</v>
      </c>
      <c r="AI172" s="13" t="s">
        <v>51</v>
      </c>
      <c r="AJ172" s="38">
        <f>IF(AN172=0,L172,0)</f>
        <v>0</v>
      </c>
      <c r="AK172" s="38">
        <f>IF(AN172=12,L172,0)</f>
        <v>0</v>
      </c>
      <c r="AL172" s="38">
        <f>IF(AN172=21,L172,0)</f>
        <v>0</v>
      </c>
      <c r="AN172" s="38">
        <v>21</v>
      </c>
      <c r="AO172" s="38">
        <f>H172*0.883307522</f>
        <v>0</v>
      </c>
      <c r="AP172" s="38">
        <f>H172*(1-0.883307522)</f>
        <v>0</v>
      </c>
      <c r="AQ172" s="41" t="s">
        <v>84</v>
      </c>
      <c r="AV172" s="38">
        <f>ROUND(AW172+AX172,2)</f>
        <v>0</v>
      </c>
      <c r="AW172" s="38">
        <f>ROUND(G172*AO172,2)</f>
        <v>0</v>
      </c>
      <c r="AX172" s="38">
        <f>ROUND(G172*AP172,2)</f>
        <v>0</v>
      </c>
      <c r="AY172" s="41" t="s">
        <v>428</v>
      </c>
      <c r="AZ172" s="41" t="s">
        <v>280</v>
      </c>
      <c r="BA172" s="13" t="s">
        <v>62</v>
      </c>
      <c r="BC172" s="38">
        <f>AW172+AX172</f>
        <v>0</v>
      </c>
      <c r="BD172" s="38">
        <f>H172/(100-BE172)*100</f>
        <v>0</v>
      </c>
      <c r="BE172" s="38">
        <v>0</v>
      </c>
      <c r="BF172" s="38">
        <f>O172</f>
        <v>2.5940000000000001E-2</v>
      </c>
      <c r="BH172" s="38">
        <f>G172*AO172</f>
        <v>0</v>
      </c>
      <c r="BI172" s="38">
        <f>G172*AP172</f>
        <v>0</v>
      </c>
      <c r="BJ172" s="38">
        <f>G172*H172</f>
        <v>0</v>
      </c>
      <c r="BK172" s="38"/>
      <c r="BL172" s="38">
        <v>726</v>
      </c>
      <c r="BW172" s="38">
        <f>I172</f>
        <v>21</v>
      </c>
      <c r="BX172" s="5" t="s">
        <v>427</v>
      </c>
    </row>
    <row r="173" spans="1:76" x14ac:dyDescent="0.25">
      <c r="A173" s="42"/>
      <c r="C173" s="43" t="s">
        <v>67</v>
      </c>
      <c r="D173" s="179" t="s">
        <v>429</v>
      </c>
      <c r="E173" s="180"/>
      <c r="F173" s="180"/>
      <c r="G173" s="180"/>
      <c r="H173" s="180"/>
      <c r="I173" s="180"/>
      <c r="J173" s="180"/>
      <c r="K173" s="180"/>
      <c r="L173" s="180"/>
      <c r="M173" s="180"/>
      <c r="N173" s="180"/>
      <c r="O173" s="180"/>
      <c r="P173" s="181"/>
      <c r="BX173" s="44" t="s">
        <v>429</v>
      </c>
    </row>
    <row r="174" spans="1:76" x14ac:dyDescent="0.25">
      <c r="A174" s="33" t="s">
        <v>50</v>
      </c>
      <c r="B174" s="34" t="s">
        <v>51</v>
      </c>
      <c r="C174" s="34" t="s">
        <v>430</v>
      </c>
      <c r="D174" s="191" t="s">
        <v>431</v>
      </c>
      <c r="E174" s="192"/>
      <c r="F174" s="36" t="s">
        <v>4</v>
      </c>
      <c r="G174" s="36" t="s">
        <v>4</v>
      </c>
      <c r="H174" s="36" t="s">
        <v>4</v>
      </c>
      <c r="I174" s="36" t="s">
        <v>4</v>
      </c>
      <c r="J174" s="1">
        <f>SUM(J175:J175)</f>
        <v>0</v>
      </c>
      <c r="K174" s="1">
        <f>SUM(K175:K175)</f>
        <v>0</v>
      </c>
      <c r="L174" s="1">
        <f>SUM(L175:L175)</f>
        <v>0</v>
      </c>
      <c r="M174" s="1">
        <f>SUM(M175:M175)</f>
        <v>0</v>
      </c>
      <c r="N174" s="13" t="s">
        <v>50</v>
      </c>
      <c r="O174" s="1">
        <f>SUM(O175:O175)</f>
        <v>0</v>
      </c>
      <c r="P174" s="37" t="s">
        <v>50</v>
      </c>
      <c r="AI174" s="13" t="s">
        <v>51</v>
      </c>
      <c r="AS174" s="1">
        <f>SUM(AJ175:AJ175)</f>
        <v>0</v>
      </c>
      <c r="AT174" s="1">
        <f>SUM(AK175:AK175)</f>
        <v>0</v>
      </c>
      <c r="AU174" s="1">
        <f>SUM(AL175:AL175)</f>
        <v>0</v>
      </c>
    </row>
    <row r="175" spans="1:76" x14ac:dyDescent="0.25">
      <c r="A175" s="2" t="s">
        <v>432</v>
      </c>
      <c r="B175" s="3" t="s">
        <v>51</v>
      </c>
      <c r="C175" s="3" t="s">
        <v>112</v>
      </c>
      <c r="D175" s="113" t="s">
        <v>433</v>
      </c>
      <c r="E175" s="110"/>
      <c r="F175" s="3" t="s">
        <v>118</v>
      </c>
      <c r="G175" s="38">
        <v>1</v>
      </c>
      <c r="H175" s="103"/>
      <c r="I175" s="39">
        <v>21</v>
      </c>
      <c r="J175" s="38">
        <f>ROUND(G175*AO175,2)</f>
        <v>0</v>
      </c>
      <c r="K175" s="38">
        <f>ROUND(G175*AP175,2)</f>
        <v>0</v>
      </c>
      <c r="L175" s="38">
        <f>ROUND(G175*H175,2)</f>
        <v>0</v>
      </c>
      <c r="M175" s="38">
        <f>L175*(1+BW175/100)</f>
        <v>0</v>
      </c>
      <c r="N175" s="38">
        <v>0</v>
      </c>
      <c r="O175" s="38">
        <f>G175*N175</f>
        <v>0</v>
      </c>
      <c r="P175" s="40" t="s">
        <v>114</v>
      </c>
      <c r="Z175" s="38">
        <f>ROUND(IF(AQ175="5",BJ175,0),2)</f>
        <v>0</v>
      </c>
      <c r="AB175" s="38">
        <f>ROUND(IF(AQ175="1",BH175,0),2)</f>
        <v>0</v>
      </c>
      <c r="AC175" s="38">
        <f>ROUND(IF(AQ175="1",BI175,0),2)</f>
        <v>0</v>
      </c>
      <c r="AD175" s="38">
        <f>ROUND(IF(AQ175="7",BH175,0),2)</f>
        <v>0</v>
      </c>
      <c r="AE175" s="38">
        <f>ROUND(IF(AQ175="7",BI175,0),2)</f>
        <v>0</v>
      </c>
      <c r="AF175" s="38">
        <f>ROUND(IF(AQ175="2",BH175,0),2)</f>
        <v>0</v>
      </c>
      <c r="AG175" s="38">
        <f>ROUND(IF(AQ175="2",BI175,0),2)</f>
        <v>0</v>
      </c>
      <c r="AH175" s="38">
        <f>ROUND(IF(AQ175="0",BJ175,0),2)</f>
        <v>0</v>
      </c>
      <c r="AI175" s="13" t="s">
        <v>51</v>
      </c>
      <c r="AJ175" s="38">
        <f>IF(AN175=0,L175,0)</f>
        <v>0</v>
      </c>
      <c r="AK175" s="38">
        <f>IF(AN175=12,L175,0)</f>
        <v>0</v>
      </c>
      <c r="AL175" s="38">
        <f>IF(AN175=21,L175,0)</f>
        <v>0</v>
      </c>
      <c r="AN175" s="38">
        <v>21</v>
      </c>
      <c r="AO175" s="38">
        <f>H175*0</f>
        <v>0</v>
      </c>
      <c r="AP175" s="38">
        <f>H175*(1-0)</f>
        <v>0</v>
      </c>
      <c r="AQ175" s="41" t="s">
        <v>84</v>
      </c>
      <c r="AV175" s="38">
        <f>ROUND(AW175+AX175,2)</f>
        <v>0</v>
      </c>
      <c r="AW175" s="38">
        <f>ROUND(G175*AO175,2)</f>
        <v>0</v>
      </c>
      <c r="AX175" s="38">
        <f>ROUND(G175*AP175,2)</f>
        <v>0</v>
      </c>
      <c r="AY175" s="41" t="s">
        <v>434</v>
      </c>
      <c r="AZ175" s="41" t="s">
        <v>280</v>
      </c>
      <c r="BA175" s="13" t="s">
        <v>62</v>
      </c>
      <c r="BC175" s="38">
        <f>AW175+AX175</f>
        <v>0</v>
      </c>
      <c r="BD175" s="38">
        <f>H175/(100-BE175)*100</f>
        <v>0</v>
      </c>
      <c r="BE175" s="38">
        <v>0</v>
      </c>
      <c r="BF175" s="38">
        <f>O175</f>
        <v>0</v>
      </c>
      <c r="BH175" s="38">
        <f>G175*AO175</f>
        <v>0</v>
      </c>
      <c r="BI175" s="38">
        <f>G175*AP175</f>
        <v>0</v>
      </c>
      <c r="BJ175" s="38">
        <f>G175*H175</f>
        <v>0</v>
      </c>
      <c r="BK175" s="38"/>
      <c r="BL175" s="38">
        <v>728</v>
      </c>
      <c r="BW175" s="38">
        <f>I175</f>
        <v>21</v>
      </c>
      <c r="BX175" s="5" t="s">
        <v>433</v>
      </c>
    </row>
    <row r="176" spans="1:76" x14ac:dyDescent="0.25">
      <c r="A176" s="33" t="s">
        <v>50</v>
      </c>
      <c r="B176" s="34" t="s">
        <v>51</v>
      </c>
      <c r="C176" s="34" t="s">
        <v>435</v>
      </c>
      <c r="D176" s="191" t="s">
        <v>436</v>
      </c>
      <c r="E176" s="192"/>
      <c r="F176" s="36" t="s">
        <v>4</v>
      </c>
      <c r="G176" s="36" t="s">
        <v>4</v>
      </c>
      <c r="H176" s="36" t="s">
        <v>4</v>
      </c>
      <c r="I176" s="36" t="s">
        <v>4</v>
      </c>
      <c r="J176" s="1">
        <f>SUM(J177:J189)</f>
        <v>0</v>
      </c>
      <c r="K176" s="1">
        <f>SUM(K177:K189)</f>
        <v>0</v>
      </c>
      <c r="L176" s="1">
        <f>SUM(L177:L189)</f>
        <v>0</v>
      </c>
      <c r="M176" s="1">
        <f>SUM(M177:M189)</f>
        <v>0</v>
      </c>
      <c r="N176" s="13" t="s">
        <v>50</v>
      </c>
      <c r="O176" s="1">
        <f>SUM(O177:O189)</f>
        <v>0.32342399999999999</v>
      </c>
      <c r="P176" s="37" t="s">
        <v>50</v>
      </c>
      <c r="AI176" s="13" t="s">
        <v>51</v>
      </c>
      <c r="AS176" s="1">
        <f>SUM(AJ177:AJ189)</f>
        <v>0</v>
      </c>
      <c r="AT176" s="1">
        <f>SUM(AK177:AK189)</f>
        <v>0</v>
      </c>
      <c r="AU176" s="1">
        <f>SUM(AL177:AL189)</f>
        <v>0</v>
      </c>
    </row>
    <row r="177" spans="1:76" x14ac:dyDescent="0.25">
      <c r="A177" s="2" t="s">
        <v>437</v>
      </c>
      <c r="B177" s="3" t="s">
        <v>51</v>
      </c>
      <c r="C177" s="3" t="s">
        <v>438</v>
      </c>
      <c r="D177" s="113" t="s">
        <v>439</v>
      </c>
      <c r="E177" s="110"/>
      <c r="F177" s="3" t="s">
        <v>100</v>
      </c>
      <c r="G177" s="38">
        <v>9.6</v>
      </c>
      <c r="H177" s="103"/>
      <c r="I177" s="39">
        <v>21</v>
      </c>
      <c r="J177" s="38">
        <f>ROUND(G177*AO177,2)</f>
        <v>0</v>
      </c>
      <c r="K177" s="38">
        <f>ROUND(G177*AP177,2)</f>
        <v>0</v>
      </c>
      <c r="L177" s="38">
        <f>ROUND(G177*H177,2)</f>
        <v>0</v>
      </c>
      <c r="M177" s="38">
        <f>L177*(1+BW177/100)</f>
        <v>0</v>
      </c>
      <c r="N177" s="38">
        <v>5.9300000000000004E-3</v>
      </c>
      <c r="O177" s="38">
        <f>G177*N177</f>
        <v>5.6927999999999999E-2</v>
      </c>
      <c r="P177" s="40" t="s">
        <v>59</v>
      </c>
      <c r="Z177" s="38">
        <f>ROUND(IF(AQ177="5",BJ177,0),2)</f>
        <v>0</v>
      </c>
      <c r="AB177" s="38">
        <f>ROUND(IF(AQ177="1",BH177,0),2)</f>
        <v>0</v>
      </c>
      <c r="AC177" s="38">
        <f>ROUND(IF(AQ177="1",BI177,0),2)</f>
        <v>0</v>
      </c>
      <c r="AD177" s="38">
        <f>ROUND(IF(AQ177="7",BH177,0),2)</f>
        <v>0</v>
      </c>
      <c r="AE177" s="38">
        <f>ROUND(IF(AQ177="7",BI177,0),2)</f>
        <v>0</v>
      </c>
      <c r="AF177" s="38">
        <f>ROUND(IF(AQ177="2",BH177,0),2)</f>
        <v>0</v>
      </c>
      <c r="AG177" s="38">
        <f>ROUND(IF(AQ177="2",BI177,0),2)</f>
        <v>0</v>
      </c>
      <c r="AH177" s="38">
        <f>ROUND(IF(AQ177="0",BJ177,0),2)</f>
        <v>0</v>
      </c>
      <c r="AI177" s="13" t="s">
        <v>51</v>
      </c>
      <c r="AJ177" s="38">
        <f>IF(AN177=0,L177,0)</f>
        <v>0</v>
      </c>
      <c r="AK177" s="38">
        <f>IF(AN177=12,L177,0)</f>
        <v>0</v>
      </c>
      <c r="AL177" s="38">
        <f>IF(AN177=21,L177,0)</f>
        <v>0</v>
      </c>
      <c r="AN177" s="38">
        <v>21</v>
      </c>
      <c r="AO177" s="38">
        <f>H177*0.167449139</f>
        <v>0</v>
      </c>
      <c r="AP177" s="38">
        <f>H177*(1-0.167449139)</f>
        <v>0</v>
      </c>
      <c r="AQ177" s="41" t="s">
        <v>84</v>
      </c>
      <c r="AV177" s="38">
        <f>ROUND(AW177+AX177,2)</f>
        <v>0</v>
      </c>
      <c r="AW177" s="38">
        <f>ROUND(G177*AO177,2)</f>
        <v>0</v>
      </c>
      <c r="AX177" s="38">
        <f>ROUND(G177*AP177,2)</f>
        <v>0</v>
      </c>
      <c r="AY177" s="41" t="s">
        <v>440</v>
      </c>
      <c r="AZ177" s="41" t="s">
        <v>441</v>
      </c>
      <c r="BA177" s="13" t="s">
        <v>62</v>
      </c>
      <c r="BC177" s="38">
        <f>AW177+AX177</f>
        <v>0</v>
      </c>
      <c r="BD177" s="38">
        <f>H177/(100-BE177)*100</f>
        <v>0</v>
      </c>
      <c r="BE177" s="38">
        <v>0</v>
      </c>
      <c r="BF177" s="38">
        <f>O177</f>
        <v>5.6927999999999999E-2</v>
      </c>
      <c r="BH177" s="38">
        <f>G177*AO177</f>
        <v>0</v>
      </c>
      <c r="BI177" s="38">
        <f>G177*AP177</f>
        <v>0</v>
      </c>
      <c r="BJ177" s="38">
        <f>G177*H177</f>
        <v>0</v>
      </c>
      <c r="BK177" s="38"/>
      <c r="BL177" s="38">
        <v>735</v>
      </c>
      <c r="BW177" s="38">
        <f>I177</f>
        <v>21</v>
      </c>
      <c r="BX177" s="5" t="s">
        <v>439</v>
      </c>
    </row>
    <row r="178" spans="1:76" ht="38.25" x14ac:dyDescent="0.25">
      <c r="A178" s="42"/>
      <c r="C178" s="43" t="s">
        <v>67</v>
      </c>
      <c r="D178" s="179" t="s">
        <v>442</v>
      </c>
      <c r="E178" s="180"/>
      <c r="F178" s="180"/>
      <c r="G178" s="180"/>
      <c r="H178" s="180"/>
      <c r="I178" s="180"/>
      <c r="J178" s="180"/>
      <c r="K178" s="180"/>
      <c r="L178" s="180"/>
      <c r="M178" s="180"/>
      <c r="N178" s="180"/>
      <c r="O178" s="180"/>
      <c r="P178" s="181"/>
      <c r="BX178" s="44" t="s">
        <v>442</v>
      </c>
    </row>
    <row r="179" spans="1:76" x14ac:dyDescent="0.25">
      <c r="A179" s="2" t="s">
        <v>443</v>
      </c>
      <c r="B179" s="3" t="s">
        <v>51</v>
      </c>
      <c r="C179" s="3" t="s">
        <v>444</v>
      </c>
      <c r="D179" s="113" t="s">
        <v>445</v>
      </c>
      <c r="E179" s="110"/>
      <c r="F179" s="3" t="s">
        <v>100</v>
      </c>
      <c r="G179" s="38">
        <v>9.6</v>
      </c>
      <c r="H179" s="103"/>
      <c r="I179" s="39">
        <v>21</v>
      </c>
      <c r="J179" s="38">
        <f>ROUND(G179*AO179,2)</f>
        <v>0</v>
      </c>
      <c r="K179" s="38">
        <f>ROUND(G179*AP179,2)</f>
        <v>0</v>
      </c>
      <c r="L179" s="38">
        <f>ROUND(G179*H179,2)</f>
        <v>0</v>
      </c>
      <c r="M179" s="38">
        <f>L179*(1+BW179/100)</f>
        <v>0</v>
      </c>
      <c r="N179" s="38">
        <v>7.6000000000000004E-4</v>
      </c>
      <c r="O179" s="38">
        <f>G179*N179</f>
        <v>7.2960000000000004E-3</v>
      </c>
      <c r="P179" s="40" t="s">
        <v>59</v>
      </c>
      <c r="Z179" s="38">
        <f>ROUND(IF(AQ179="5",BJ179,0),2)</f>
        <v>0</v>
      </c>
      <c r="AB179" s="38">
        <f>ROUND(IF(AQ179="1",BH179,0),2)</f>
        <v>0</v>
      </c>
      <c r="AC179" s="38">
        <f>ROUND(IF(AQ179="1",BI179,0),2)</f>
        <v>0</v>
      </c>
      <c r="AD179" s="38">
        <f>ROUND(IF(AQ179="7",BH179,0),2)</f>
        <v>0</v>
      </c>
      <c r="AE179" s="38">
        <f>ROUND(IF(AQ179="7",BI179,0),2)</f>
        <v>0</v>
      </c>
      <c r="AF179" s="38">
        <f>ROUND(IF(AQ179="2",BH179,0),2)</f>
        <v>0</v>
      </c>
      <c r="AG179" s="38">
        <f>ROUND(IF(AQ179="2",BI179,0),2)</f>
        <v>0</v>
      </c>
      <c r="AH179" s="38">
        <f>ROUND(IF(AQ179="0",BJ179,0),2)</f>
        <v>0</v>
      </c>
      <c r="AI179" s="13" t="s">
        <v>51</v>
      </c>
      <c r="AJ179" s="38">
        <f>IF(AN179=0,L179,0)</f>
        <v>0</v>
      </c>
      <c r="AK179" s="38">
        <f>IF(AN179=12,L179,0)</f>
        <v>0</v>
      </c>
      <c r="AL179" s="38">
        <f>IF(AN179=21,L179,0)</f>
        <v>0</v>
      </c>
      <c r="AN179" s="38">
        <v>21</v>
      </c>
      <c r="AO179" s="38">
        <f>H179*0.580631693</f>
        <v>0</v>
      </c>
      <c r="AP179" s="38">
        <f>H179*(1-0.580631693)</f>
        <v>0</v>
      </c>
      <c r="AQ179" s="41" t="s">
        <v>84</v>
      </c>
      <c r="AV179" s="38">
        <f>ROUND(AW179+AX179,2)</f>
        <v>0</v>
      </c>
      <c r="AW179" s="38">
        <f>ROUND(G179*AO179,2)</f>
        <v>0</v>
      </c>
      <c r="AX179" s="38">
        <f>ROUND(G179*AP179,2)</f>
        <v>0</v>
      </c>
      <c r="AY179" s="41" t="s">
        <v>440</v>
      </c>
      <c r="AZ179" s="41" t="s">
        <v>441</v>
      </c>
      <c r="BA179" s="13" t="s">
        <v>62</v>
      </c>
      <c r="BC179" s="38">
        <f>AW179+AX179</f>
        <v>0</v>
      </c>
      <c r="BD179" s="38">
        <f>H179/(100-BE179)*100</f>
        <v>0</v>
      </c>
      <c r="BE179" s="38">
        <v>0</v>
      </c>
      <c r="BF179" s="38">
        <f>O179</f>
        <v>7.2960000000000004E-3</v>
      </c>
      <c r="BH179" s="38">
        <f>G179*AO179</f>
        <v>0</v>
      </c>
      <c r="BI179" s="38">
        <f>G179*AP179</f>
        <v>0</v>
      </c>
      <c r="BJ179" s="38">
        <f>G179*H179</f>
        <v>0</v>
      </c>
      <c r="BK179" s="38"/>
      <c r="BL179" s="38">
        <v>735</v>
      </c>
      <c r="BW179" s="38">
        <f>I179</f>
        <v>21</v>
      </c>
      <c r="BX179" s="5" t="s">
        <v>445</v>
      </c>
    </row>
    <row r="180" spans="1:76" x14ac:dyDescent="0.25">
      <c r="A180" s="42"/>
      <c r="C180" s="43" t="s">
        <v>67</v>
      </c>
      <c r="D180" s="179" t="s">
        <v>446</v>
      </c>
      <c r="E180" s="180"/>
      <c r="F180" s="180"/>
      <c r="G180" s="180"/>
      <c r="H180" s="180"/>
      <c r="I180" s="180"/>
      <c r="J180" s="180"/>
      <c r="K180" s="180"/>
      <c r="L180" s="180"/>
      <c r="M180" s="180"/>
      <c r="N180" s="180"/>
      <c r="O180" s="180"/>
      <c r="P180" s="181"/>
      <c r="BX180" s="44" t="s">
        <v>446</v>
      </c>
    </row>
    <row r="181" spans="1:76" x14ac:dyDescent="0.25">
      <c r="A181" s="2" t="s">
        <v>447</v>
      </c>
      <c r="B181" s="3" t="s">
        <v>51</v>
      </c>
      <c r="C181" s="3" t="s">
        <v>448</v>
      </c>
      <c r="D181" s="113" t="s">
        <v>449</v>
      </c>
      <c r="E181" s="110"/>
      <c r="F181" s="3" t="s">
        <v>66</v>
      </c>
      <c r="G181" s="38">
        <v>16</v>
      </c>
      <c r="H181" s="103"/>
      <c r="I181" s="39">
        <v>21</v>
      </c>
      <c r="J181" s="38">
        <f>ROUND(G181*AO181,2)</f>
        <v>0</v>
      </c>
      <c r="K181" s="38">
        <f>ROUND(G181*AP181,2)</f>
        <v>0</v>
      </c>
      <c r="L181" s="38">
        <f>ROUND(G181*H181,2)</f>
        <v>0</v>
      </c>
      <c r="M181" s="38">
        <f>L181*(1+BW181/100)</f>
        <v>0</v>
      </c>
      <c r="N181" s="38">
        <v>0</v>
      </c>
      <c r="O181" s="38">
        <f>G181*N181</f>
        <v>0</v>
      </c>
      <c r="P181" s="40" t="s">
        <v>59</v>
      </c>
      <c r="Z181" s="38">
        <f>ROUND(IF(AQ181="5",BJ181,0),2)</f>
        <v>0</v>
      </c>
      <c r="AB181" s="38">
        <f>ROUND(IF(AQ181="1",BH181,0),2)</f>
        <v>0</v>
      </c>
      <c r="AC181" s="38">
        <f>ROUND(IF(AQ181="1",BI181,0),2)</f>
        <v>0</v>
      </c>
      <c r="AD181" s="38">
        <f>ROUND(IF(AQ181="7",BH181,0),2)</f>
        <v>0</v>
      </c>
      <c r="AE181" s="38">
        <f>ROUND(IF(AQ181="7",BI181,0),2)</f>
        <v>0</v>
      </c>
      <c r="AF181" s="38">
        <f>ROUND(IF(AQ181="2",BH181,0),2)</f>
        <v>0</v>
      </c>
      <c r="AG181" s="38">
        <f>ROUND(IF(AQ181="2",BI181,0),2)</f>
        <v>0</v>
      </c>
      <c r="AH181" s="38">
        <f>ROUND(IF(AQ181="0",BJ181,0),2)</f>
        <v>0</v>
      </c>
      <c r="AI181" s="13" t="s">
        <v>51</v>
      </c>
      <c r="AJ181" s="38">
        <f>IF(AN181=0,L181,0)</f>
        <v>0</v>
      </c>
      <c r="AK181" s="38">
        <f>IF(AN181=12,L181,0)</f>
        <v>0</v>
      </c>
      <c r="AL181" s="38">
        <f>IF(AN181=21,L181,0)</f>
        <v>0</v>
      </c>
      <c r="AN181" s="38">
        <v>21</v>
      </c>
      <c r="AO181" s="38">
        <f>H181*0</f>
        <v>0</v>
      </c>
      <c r="AP181" s="38">
        <f>H181*(1-0)</f>
        <v>0</v>
      </c>
      <c r="AQ181" s="41" t="s">
        <v>84</v>
      </c>
      <c r="AV181" s="38">
        <f>ROUND(AW181+AX181,2)</f>
        <v>0</v>
      </c>
      <c r="AW181" s="38">
        <f>ROUND(G181*AO181,2)</f>
        <v>0</v>
      </c>
      <c r="AX181" s="38">
        <f>ROUND(G181*AP181,2)</f>
        <v>0</v>
      </c>
      <c r="AY181" s="41" t="s">
        <v>440</v>
      </c>
      <c r="AZ181" s="41" t="s">
        <v>441</v>
      </c>
      <c r="BA181" s="13" t="s">
        <v>62</v>
      </c>
      <c r="BC181" s="38">
        <f>AW181+AX181</f>
        <v>0</v>
      </c>
      <c r="BD181" s="38">
        <f>H181/(100-BE181)*100</f>
        <v>0</v>
      </c>
      <c r="BE181" s="38">
        <v>0</v>
      </c>
      <c r="BF181" s="38">
        <f>O181</f>
        <v>0</v>
      </c>
      <c r="BH181" s="38">
        <f>G181*AO181</f>
        <v>0</v>
      </c>
      <c r="BI181" s="38">
        <f>G181*AP181</f>
        <v>0</v>
      </c>
      <c r="BJ181" s="38">
        <f>G181*H181</f>
        <v>0</v>
      </c>
      <c r="BK181" s="38"/>
      <c r="BL181" s="38">
        <v>735</v>
      </c>
      <c r="BW181" s="38">
        <f>I181</f>
        <v>21</v>
      </c>
      <c r="BX181" s="5" t="s">
        <v>449</v>
      </c>
    </row>
    <row r="182" spans="1:76" x14ac:dyDescent="0.25">
      <c r="A182" s="2" t="s">
        <v>450</v>
      </c>
      <c r="B182" s="3" t="s">
        <v>51</v>
      </c>
      <c r="C182" s="3" t="s">
        <v>451</v>
      </c>
      <c r="D182" s="113" t="s">
        <v>452</v>
      </c>
      <c r="E182" s="110"/>
      <c r="F182" s="3" t="s">
        <v>66</v>
      </c>
      <c r="G182" s="38">
        <v>2</v>
      </c>
      <c r="H182" s="103"/>
      <c r="I182" s="39">
        <v>21</v>
      </c>
      <c r="J182" s="38">
        <f>ROUND(G182*AO182,2)</f>
        <v>0</v>
      </c>
      <c r="K182" s="38">
        <f>ROUND(G182*AP182,2)</f>
        <v>0</v>
      </c>
      <c r="L182" s="38">
        <f>ROUND(G182*H182,2)</f>
        <v>0</v>
      </c>
      <c r="M182" s="38">
        <f>L182*(1+BW182/100)</f>
        <v>0</v>
      </c>
      <c r="N182" s="38">
        <v>0</v>
      </c>
      <c r="O182" s="38">
        <f>G182*N182</f>
        <v>0</v>
      </c>
      <c r="P182" s="40" t="s">
        <v>59</v>
      </c>
      <c r="Z182" s="38">
        <f>ROUND(IF(AQ182="5",BJ182,0),2)</f>
        <v>0</v>
      </c>
      <c r="AB182" s="38">
        <f>ROUND(IF(AQ182="1",BH182,0),2)</f>
        <v>0</v>
      </c>
      <c r="AC182" s="38">
        <f>ROUND(IF(AQ182="1",BI182,0),2)</f>
        <v>0</v>
      </c>
      <c r="AD182" s="38">
        <f>ROUND(IF(AQ182="7",BH182,0),2)</f>
        <v>0</v>
      </c>
      <c r="AE182" s="38">
        <f>ROUND(IF(AQ182="7",BI182,0),2)</f>
        <v>0</v>
      </c>
      <c r="AF182" s="38">
        <f>ROUND(IF(AQ182="2",BH182,0),2)</f>
        <v>0</v>
      </c>
      <c r="AG182" s="38">
        <f>ROUND(IF(AQ182="2",BI182,0),2)</f>
        <v>0</v>
      </c>
      <c r="AH182" s="38">
        <f>ROUND(IF(AQ182="0",BJ182,0),2)</f>
        <v>0</v>
      </c>
      <c r="AI182" s="13" t="s">
        <v>51</v>
      </c>
      <c r="AJ182" s="38">
        <f>IF(AN182=0,L182,0)</f>
        <v>0</v>
      </c>
      <c r="AK182" s="38">
        <f>IF(AN182=12,L182,0)</f>
        <v>0</v>
      </c>
      <c r="AL182" s="38">
        <f>IF(AN182=21,L182,0)</f>
        <v>0</v>
      </c>
      <c r="AN182" s="38">
        <v>21</v>
      </c>
      <c r="AO182" s="38">
        <f>H182*0</f>
        <v>0</v>
      </c>
      <c r="AP182" s="38">
        <f>H182*(1-0)</f>
        <v>0</v>
      </c>
      <c r="AQ182" s="41" t="s">
        <v>84</v>
      </c>
      <c r="AV182" s="38">
        <f>ROUND(AW182+AX182,2)</f>
        <v>0</v>
      </c>
      <c r="AW182" s="38">
        <f>ROUND(G182*AO182,2)</f>
        <v>0</v>
      </c>
      <c r="AX182" s="38">
        <f>ROUND(G182*AP182,2)</f>
        <v>0</v>
      </c>
      <c r="AY182" s="41" t="s">
        <v>440</v>
      </c>
      <c r="AZ182" s="41" t="s">
        <v>441</v>
      </c>
      <c r="BA182" s="13" t="s">
        <v>62</v>
      </c>
      <c r="BC182" s="38">
        <f>AW182+AX182</f>
        <v>0</v>
      </c>
      <c r="BD182" s="38">
        <f>H182/(100-BE182)*100</f>
        <v>0</v>
      </c>
      <c r="BE182" s="38">
        <v>0</v>
      </c>
      <c r="BF182" s="38">
        <f>O182</f>
        <v>0</v>
      </c>
      <c r="BH182" s="38">
        <f>G182*AO182</f>
        <v>0</v>
      </c>
      <c r="BI182" s="38">
        <f>G182*AP182</f>
        <v>0</v>
      </c>
      <c r="BJ182" s="38">
        <f>G182*H182</f>
        <v>0</v>
      </c>
      <c r="BK182" s="38"/>
      <c r="BL182" s="38">
        <v>735</v>
      </c>
      <c r="BW182" s="38">
        <f>I182</f>
        <v>21</v>
      </c>
      <c r="BX182" s="5" t="s">
        <v>452</v>
      </c>
    </row>
    <row r="183" spans="1:76" x14ac:dyDescent="0.25">
      <c r="A183" s="42"/>
      <c r="C183" s="43" t="s">
        <v>67</v>
      </c>
      <c r="D183" s="179" t="s">
        <v>453</v>
      </c>
      <c r="E183" s="180"/>
      <c r="F183" s="180"/>
      <c r="G183" s="180"/>
      <c r="H183" s="180"/>
      <c r="I183" s="180"/>
      <c r="J183" s="180"/>
      <c r="K183" s="180"/>
      <c r="L183" s="180"/>
      <c r="M183" s="180"/>
      <c r="N183" s="180"/>
      <c r="O183" s="180"/>
      <c r="P183" s="181"/>
      <c r="BX183" s="44" t="s">
        <v>453</v>
      </c>
    </row>
    <row r="184" spans="1:76" ht="25.5" x14ac:dyDescent="0.25">
      <c r="A184" s="2" t="s">
        <v>454</v>
      </c>
      <c r="B184" s="3" t="s">
        <v>51</v>
      </c>
      <c r="C184" s="3" t="s">
        <v>455</v>
      </c>
      <c r="D184" s="113" t="s">
        <v>456</v>
      </c>
      <c r="E184" s="110"/>
      <c r="F184" s="3" t="s">
        <v>66</v>
      </c>
      <c r="G184" s="38">
        <v>2</v>
      </c>
      <c r="H184" s="103"/>
      <c r="I184" s="39">
        <v>21</v>
      </c>
      <c r="J184" s="38">
        <f>ROUND(G184*AO184,2)</f>
        <v>0</v>
      </c>
      <c r="K184" s="38">
        <f>ROUND(G184*AP184,2)</f>
        <v>0</v>
      </c>
      <c r="L184" s="38">
        <f>ROUND(G184*H184,2)</f>
        <v>0</v>
      </c>
      <c r="M184" s="38">
        <f>L184*(1+BW184/100)</f>
        <v>0</v>
      </c>
      <c r="N184" s="38">
        <v>8.3599999999999994E-2</v>
      </c>
      <c r="O184" s="38">
        <f>G184*N184</f>
        <v>0.16719999999999999</v>
      </c>
      <c r="P184" s="40" t="s">
        <v>114</v>
      </c>
      <c r="Z184" s="38">
        <f>ROUND(IF(AQ184="5",BJ184,0),2)</f>
        <v>0</v>
      </c>
      <c r="AB184" s="38">
        <f>ROUND(IF(AQ184="1",BH184,0),2)</f>
        <v>0</v>
      </c>
      <c r="AC184" s="38">
        <f>ROUND(IF(AQ184="1",BI184,0),2)</f>
        <v>0</v>
      </c>
      <c r="AD184" s="38">
        <f>ROUND(IF(AQ184="7",BH184,0),2)</f>
        <v>0</v>
      </c>
      <c r="AE184" s="38">
        <f>ROUND(IF(AQ184="7",BI184,0),2)</f>
        <v>0</v>
      </c>
      <c r="AF184" s="38">
        <f>ROUND(IF(AQ184="2",BH184,0),2)</f>
        <v>0</v>
      </c>
      <c r="AG184" s="38">
        <f>ROUND(IF(AQ184="2",BI184,0),2)</f>
        <v>0</v>
      </c>
      <c r="AH184" s="38">
        <f>ROUND(IF(AQ184="0",BJ184,0),2)</f>
        <v>0</v>
      </c>
      <c r="AI184" s="13" t="s">
        <v>51</v>
      </c>
      <c r="AJ184" s="38">
        <f>IF(AN184=0,L184,0)</f>
        <v>0</v>
      </c>
      <c r="AK184" s="38">
        <f>IF(AN184=12,L184,0)</f>
        <v>0</v>
      </c>
      <c r="AL184" s="38">
        <f>IF(AN184=21,L184,0)</f>
        <v>0</v>
      </c>
      <c r="AN184" s="38">
        <v>21</v>
      </c>
      <c r="AO184" s="38">
        <f>H184*1</f>
        <v>0</v>
      </c>
      <c r="AP184" s="38">
        <f>H184*(1-1)</f>
        <v>0</v>
      </c>
      <c r="AQ184" s="41" t="s">
        <v>84</v>
      </c>
      <c r="AV184" s="38">
        <f>ROUND(AW184+AX184,2)</f>
        <v>0</v>
      </c>
      <c r="AW184" s="38">
        <f>ROUND(G184*AO184,2)</f>
        <v>0</v>
      </c>
      <c r="AX184" s="38">
        <f>ROUND(G184*AP184,2)</f>
        <v>0</v>
      </c>
      <c r="AY184" s="41" t="s">
        <v>440</v>
      </c>
      <c r="AZ184" s="41" t="s">
        <v>441</v>
      </c>
      <c r="BA184" s="13" t="s">
        <v>62</v>
      </c>
      <c r="BC184" s="38">
        <f>AW184+AX184</f>
        <v>0</v>
      </c>
      <c r="BD184" s="38">
        <f>H184/(100-BE184)*100</f>
        <v>0</v>
      </c>
      <c r="BE184" s="38">
        <v>0</v>
      </c>
      <c r="BF184" s="38">
        <f>O184</f>
        <v>0.16719999999999999</v>
      </c>
      <c r="BH184" s="38">
        <f>G184*AO184</f>
        <v>0</v>
      </c>
      <c r="BI184" s="38">
        <f>G184*AP184</f>
        <v>0</v>
      </c>
      <c r="BJ184" s="38">
        <f>G184*H184</f>
        <v>0</v>
      </c>
      <c r="BK184" s="38"/>
      <c r="BL184" s="38">
        <v>735</v>
      </c>
      <c r="BW184" s="38">
        <f>I184</f>
        <v>21</v>
      </c>
      <c r="BX184" s="5" t="s">
        <v>456</v>
      </c>
    </row>
    <row r="185" spans="1:76" ht="51" x14ac:dyDescent="0.25">
      <c r="A185" s="42"/>
      <c r="C185" s="43" t="s">
        <v>67</v>
      </c>
      <c r="D185" s="179" t="s">
        <v>457</v>
      </c>
      <c r="E185" s="180"/>
      <c r="F185" s="180"/>
      <c r="G185" s="180"/>
      <c r="H185" s="180"/>
      <c r="I185" s="180"/>
      <c r="J185" s="180"/>
      <c r="K185" s="180"/>
      <c r="L185" s="180"/>
      <c r="M185" s="180"/>
      <c r="N185" s="180"/>
      <c r="O185" s="180"/>
      <c r="P185" s="181"/>
      <c r="BX185" s="44" t="s">
        <v>457</v>
      </c>
    </row>
    <row r="186" spans="1:76" x14ac:dyDescent="0.25">
      <c r="A186" s="2" t="s">
        <v>458</v>
      </c>
      <c r="B186" s="3" t="s">
        <v>51</v>
      </c>
      <c r="C186" s="3" t="s">
        <v>459</v>
      </c>
      <c r="D186" s="113" t="s">
        <v>460</v>
      </c>
      <c r="E186" s="110"/>
      <c r="F186" s="3" t="s">
        <v>66</v>
      </c>
      <c r="G186" s="38">
        <v>2</v>
      </c>
      <c r="H186" s="103"/>
      <c r="I186" s="39">
        <v>21</v>
      </c>
      <c r="J186" s="38">
        <f>ROUND(G186*AO186,2)</f>
        <v>0</v>
      </c>
      <c r="K186" s="38">
        <f>ROUND(G186*AP186,2)</f>
        <v>0</v>
      </c>
      <c r="L186" s="38">
        <f>ROUND(G186*H186,2)</f>
        <v>0</v>
      </c>
      <c r="M186" s="38">
        <f>L186*(1+BW186/100)</f>
        <v>0</v>
      </c>
      <c r="N186" s="38">
        <v>0</v>
      </c>
      <c r="O186" s="38">
        <f>G186*N186</f>
        <v>0</v>
      </c>
      <c r="P186" s="40" t="s">
        <v>59</v>
      </c>
      <c r="Z186" s="38">
        <f>ROUND(IF(AQ186="5",BJ186,0),2)</f>
        <v>0</v>
      </c>
      <c r="AB186" s="38">
        <f>ROUND(IF(AQ186="1",BH186,0),2)</f>
        <v>0</v>
      </c>
      <c r="AC186" s="38">
        <f>ROUND(IF(AQ186="1",BI186,0),2)</f>
        <v>0</v>
      </c>
      <c r="AD186" s="38">
        <f>ROUND(IF(AQ186="7",BH186,0),2)</f>
        <v>0</v>
      </c>
      <c r="AE186" s="38">
        <f>ROUND(IF(AQ186="7",BI186,0),2)</f>
        <v>0</v>
      </c>
      <c r="AF186" s="38">
        <f>ROUND(IF(AQ186="2",BH186,0),2)</f>
        <v>0</v>
      </c>
      <c r="AG186" s="38">
        <f>ROUND(IF(AQ186="2",BI186,0),2)</f>
        <v>0</v>
      </c>
      <c r="AH186" s="38">
        <f>ROUND(IF(AQ186="0",BJ186,0),2)</f>
        <v>0</v>
      </c>
      <c r="AI186" s="13" t="s">
        <v>51</v>
      </c>
      <c r="AJ186" s="38">
        <f>IF(AN186=0,L186,0)</f>
        <v>0</v>
      </c>
      <c r="AK186" s="38">
        <f>IF(AN186=12,L186,0)</f>
        <v>0</v>
      </c>
      <c r="AL186" s="38">
        <f>IF(AN186=21,L186,0)</f>
        <v>0</v>
      </c>
      <c r="AN186" s="38">
        <v>21</v>
      </c>
      <c r="AO186" s="38">
        <f>H186*0.305620205</f>
        <v>0</v>
      </c>
      <c r="AP186" s="38">
        <f>H186*(1-0.305620205)</f>
        <v>0</v>
      </c>
      <c r="AQ186" s="41" t="s">
        <v>84</v>
      </c>
      <c r="AV186" s="38">
        <f>ROUND(AW186+AX186,2)</f>
        <v>0</v>
      </c>
      <c r="AW186" s="38">
        <f>ROUND(G186*AO186,2)</f>
        <v>0</v>
      </c>
      <c r="AX186" s="38">
        <f>ROUND(G186*AP186,2)</f>
        <v>0</v>
      </c>
      <c r="AY186" s="41" t="s">
        <v>440</v>
      </c>
      <c r="AZ186" s="41" t="s">
        <v>441</v>
      </c>
      <c r="BA186" s="13" t="s">
        <v>62</v>
      </c>
      <c r="BC186" s="38">
        <f>AW186+AX186</f>
        <v>0</v>
      </c>
      <c r="BD186" s="38">
        <f>H186/(100-BE186)*100</f>
        <v>0</v>
      </c>
      <c r="BE186" s="38">
        <v>0</v>
      </c>
      <c r="BF186" s="38">
        <f>O186</f>
        <v>0</v>
      </c>
      <c r="BH186" s="38">
        <f>G186*AO186</f>
        <v>0</v>
      </c>
      <c r="BI186" s="38">
        <f>G186*AP186</f>
        <v>0</v>
      </c>
      <c r="BJ186" s="38">
        <f>G186*H186</f>
        <v>0</v>
      </c>
      <c r="BK186" s="38"/>
      <c r="BL186" s="38">
        <v>735</v>
      </c>
      <c r="BW186" s="38">
        <f>I186</f>
        <v>21</v>
      </c>
      <c r="BX186" s="5" t="s">
        <v>460</v>
      </c>
    </row>
    <row r="187" spans="1:76" x14ac:dyDescent="0.25">
      <c r="A187" s="2" t="s">
        <v>461</v>
      </c>
      <c r="B187" s="3" t="s">
        <v>51</v>
      </c>
      <c r="C187" s="3" t="s">
        <v>462</v>
      </c>
      <c r="D187" s="113" t="s">
        <v>463</v>
      </c>
      <c r="E187" s="110"/>
      <c r="F187" s="3" t="s">
        <v>66</v>
      </c>
      <c r="G187" s="38">
        <v>2</v>
      </c>
      <c r="H187" s="103"/>
      <c r="I187" s="39">
        <v>21</v>
      </c>
      <c r="J187" s="38">
        <f>ROUND(G187*AO187,2)</f>
        <v>0</v>
      </c>
      <c r="K187" s="38">
        <f>ROUND(G187*AP187,2)</f>
        <v>0</v>
      </c>
      <c r="L187" s="38">
        <f>ROUND(G187*H187,2)</f>
        <v>0</v>
      </c>
      <c r="M187" s="38">
        <f>L187*(1+BW187/100)</f>
        <v>0</v>
      </c>
      <c r="N187" s="38">
        <v>4.5999999999999999E-2</v>
      </c>
      <c r="O187" s="38">
        <f>G187*N187</f>
        <v>9.1999999999999998E-2</v>
      </c>
      <c r="P187" s="40" t="s">
        <v>114</v>
      </c>
      <c r="Z187" s="38">
        <f>ROUND(IF(AQ187="5",BJ187,0),2)</f>
        <v>0</v>
      </c>
      <c r="AB187" s="38">
        <f>ROUND(IF(AQ187="1",BH187,0),2)</f>
        <v>0</v>
      </c>
      <c r="AC187" s="38">
        <f>ROUND(IF(AQ187="1",BI187,0),2)</f>
        <v>0</v>
      </c>
      <c r="AD187" s="38">
        <f>ROUND(IF(AQ187="7",BH187,0),2)</f>
        <v>0</v>
      </c>
      <c r="AE187" s="38">
        <f>ROUND(IF(AQ187="7",BI187,0),2)</f>
        <v>0</v>
      </c>
      <c r="AF187" s="38">
        <f>ROUND(IF(AQ187="2",BH187,0),2)</f>
        <v>0</v>
      </c>
      <c r="AG187" s="38">
        <f>ROUND(IF(AQ187="2",BI187,0),2)</f>
        <v>0</v>
      </c>
      <c r="AH187" s="38">
        <f>ROUND(IF(AQ187="0",BJ187,0),2)</f>
        <v>0</v>
      </c>
      <c r="AI187" s="13" t="s">
        <v>51</v>
      </c>
      <c r="AJ187" s="38">
        <f>IF(AN187=0,L187,0)</f>
        <v>0</v>
      </c>
      <c r="AK187" s="38">
        <f>IF(AN187=12,L187,0)</f>
        <v>0</v>
      </c>
      <c r="AL187" s="38">
        <f>IF(AN187=21,L187,0)</f>
        <v>0</v>
      </c>
      <c r="AN187" s="38">
        <v>21</v>
      </c>
      <c r="AO187" s="38">
        <f>H187*1</f>
        <v>0</v>
      </c>
      <c r="AP187" s="38">
        <f>H187*(1-1)</f>
        <v>0</v>
      </c>
      <c r="AQ187" s="41" t="s">
        <v>84</v>
      </c>
      <c r="AV187" s="38">
        <f>ROUND(AW187+AX187,2)</f>
        <v>0</v>
      </c>
      <c r="AW187" s="38">
        <f>ROUND(G187*AO187,2)</f>
        <v>0</v>
      </c>
      <c r="AX187" s="38">
        <f>ROUND(G187*AP187,2)</f>
        <v>0</v>
      </c>
      <c r="AY187" s="41" t="s">
        <v>440</v>
      </c>
      <c r="AZ187" s="41" t="s">
        <v>441</v>
      </c>
      <c r="BA187" s="13" t="s">
        <v>62</v>
      </c>
      <c r="BC187" s="38">
        <f>AW187+AX187</f>
        <v>0</v>
      </c>
      <c r="BD187" s="38">
        <f>H187/(100-BE187)*100</f>
        <v>0</v>
      </c>
      <c r="BE187" s="38">
        <v>0</v>
      </c>
      <c r="BF187" s="38">
        <f>O187</f>
        <v>9.1999999999999998E-2</v>
      </c>
      <c r="BH187" s="38">
        <f>G187*AO187</f>
        <v>0</v>
      </c>
      <c r="BI187" s="38">
        <f>G187*AP187</f>
        <v>0</v>
      </c>
      <c r="BJ187" s="38">
        <f>G187*H187</f>
        <v>0</v>
      </c>
      <c r="BK187" s="38"/>
      <c r="BL187" s="38">
        <v>735</v>
      </c>
      <c r="BW187" s="38">
        <f>I187</f>
        <v>21</v>
      </c>
      <c r="BX187" s="5" t="s">
        <v>463</v>
      </c>
    </row>
    <row r="188" spans="1:76" ht="51" x14ac:dyDescent="0.25">
      <c r="A188" s="42"/>
      <c r="C188" s="43" t="s">
        <v>67</v>
      </c>
      <c r="D188" s="179" t="s">
        <v>464</v>
      </c>
      <c r="E188" s="180"/>
      <c r="F188" s="180"/>
      <c r="G188" s="180"/>
      <c r="H188" s="180"/>
      <c r="I188" s="180"/>
      <c r="J188" s="180"/>
      <c r="K188" s="180"/>
      <c r="L188" s="180"/>
      <c r="M188" s="180"/>
      <c r="N188" s="180"/>
      <c r="O188" s="180"/>
      <c r="P188" s="181"/>
      <c r="BX188" s="44" t="s">
        <v>464</v>
      </c>
    </row>
    <row r="189" spans="1:76" x14ac:dyDescent="0.25">
      <c r="A189" s="2" t="s">
        <v>465</v>
      </c>
      <c r="B189" s="3" t="s">
        <v>51</v>
      </c>
      <c r="C189" s="3" t="s">
        <v>466</v>
      </c>
      <c r="D189" s="113" t="s">
        <v>467</v>
      </c>
      <c r="E189" s="110"/>
      <c r="F189" s="3" t="s">
        <v>134</v>
      </c>
      <c r="G189" s="38">
        <v>0.32341999999999999</v>
      </c>
      <c r="H189" s="103"/>
      <c r="I189" s="39">
        <v>21</v>
      </c>
      <c r="J189" s="38">
        <f>ROUND(G189*AO189,2)</f>
        <v>0</v>
      </c>
      <c r="K189" s="38">
        <f>ROUND(G189*AP189,2)</f>
        <v>0</v>
      </c>
      <c r="L189" s="38">
        <f>ROUND(G189*H189,2)</f>
        <v>0</v>
      </c>
      <c r="M189" s="38">
        <f>L189*(1+BW189/100)</f>
        <v>0</v>
      </c>
      <c r="N189" s="38">
        <v>0</v>
      </c>
      <c r="O189" s="38">
        <f>G189*N189</f>
        <v>0</v>
      </c>
      <c r="P189" s="40" t="s">
        <v>59</v>
      </c>
      <c r="Z189" s="38">
        <f>ROUND(IF(AQ189="5",BJ189,0),2)</f>
        <v>0</v>
      </c>
      <c r="AB189" s="38">
        <f>ROUND(IF(AQ189="1",BH189,0),2)</f>
        <v>0</v>
      </c>
      <c r="AC189" s="38">
        <f>ROUND(IF(AQ189="1",BI189,0),2)</f>
        <v>0</v>
      </c>
      <c r="AD189" s="38">
        <f>ROUND(IF(AQ189="7",BH189,0),2)</f>
        <v>0</v>
      </c>
      <c r="AE189" s="38">
        <f>ROUND(IF(AQ189="7",BI189,0),2)</f>
        <v>0</v>
      </c>
      <c r="AF189" s="38">
        <f>ROUND(IF(AQ189="2",BH189,0),2)</f>
        <v>0</v>
      </c>
      <c r="AG189" s="38">
        <f>ROUND(IF(AQ189="2",BI189,0),2)</f>
        <v>0</v>
      </c>
      <c r="AH189" s="38">
        <f>ROUND(IF(AQ189="0",BJ189,0),2)</f>
        <v>0</v>
      </c>
      <c r="AI189" s="13" t="s">
        <v>51</v>
      </c>
      <c r="AJ189" s="38">
        <f>IF(AN189=0,L189,0)</f>
        <v>0</v>
      </c>
      <c r="AK189" s="38">
        <f>IF(AN189=12,L189,0)</f>
        <v>0</v>
      </c>
      <c r="AL189" s="38">
        <f>IF(AN189=21,L189,0)</f>
        <v>0</v>
      </c>
      <c r="AN189" s="38">
        <v>21</v>
      </c>
      <c r="AO189" s="38">
        <f>H189*0</f>
        <v>0</v>
      </c>
      <c r="AP189" s="38">
        <f>H189*(1-0)</f>
        <v>0</v>
      </c>
      <c r="AQ189" s="41" t="s">
        <v>77</v>
      </c>
      <c r="AV189" s="38">
        <f>ROUND(AW189+AX189,2)</f>
        <v>0</v>
      </c>
      <c r="AW189" s="38">
        <f>ROUND(G189*AO189,2)</f>
        <v>0</v>
      </c>
      <c r="AX189" s="38">
        <f>ROUND(G189*AP189,2)</f>
        <v>0</v>
      </c>
      <c r="AY189" s="41" t="s">
        <v>440</v>
      </c>
      <c r="AZ189" s="41" t="s">
        <v>441</v>
      </c>
      <c r="BA189" s="13" t="s">
        <v>62</v>
      </c>
      <c r="BC189" s="38">
        <f>AW189+AX189</f>
        <v>0</v>
      </c>
      <c r="BD189" s="38">
        <f>H189/(100-BE189)*100</f>
        <v>0</v>
      </c>
      <c r="BE189" s="38">
        <v>0</v>
      </c>
      <c r="BF189" s="38">
        <f>O189</f>
        <v>0</v>
      </c>
      <c r="BH189" s="38">
        <f>G189*AO189</f>
        <v>0</v>
      </c>
      <c r="BI189" s="38">
        <f>G189*AP189</f>
        <v>0</v>
      </c>
      <c r="BJ189" s="38">
        <f>G189*H189</f>
        <v>0</v>
      </c>
      <c r="BK189" s="38"/>
      <c r="BL189" s="38">
        <v>735</v>
      </c>
      <c r="BW189" s="38">
        <f>I189</f>
        <v>21</v>
      </c>
      <c r="BX189" s="5" t="s">
        <v>467</v>
      </c>
    </row>
    <row r="190" spans="1:76" x14ac:dyDescent="0.25">
      <c r="A190" s="33" t="s">
        <v>50</v>
      </c>
      <c r="B190" s="34" t="s">
        <v>51</v>
      </c>
      <c r="C190" s="34" t="s">
        <v>468</v>
      </c>
      <c r="D190" s="191" t="s">
        <v>469</v>
      </c>
      <c r="E190" s="192"/>
      <c r="F190" s="36" t="s">
        <v>4</v>
      </c>
      <c r="G190" s="36" t="s">
        <v>4</v>
      </c>
      <c r="H190" s="36" t="s">
        <v>4</v>
      </c>
      <c r="I190" s="36" t="s">
        <v>4</v>
      </c>
      <c r="J190" s="1">
        <f>SUM(J191:J217)</f>
        <v>0</v>
      </c>
      <c r="K190" s="1">
        <f>SUM(K191:K217)</f>
        <v>0</v>
      </c>
      <c r="L190" s="1">
        <f>SUM(L191:L217)</f>
        <v>0</v>
      </c>
      <c r="M190" s="1">
        <f>SUM(M191:M217)</f>
        <v>0</v>
      </c>
      <c r="N190" s="13" t="s">
        <v>50</v>
      </c>
      <c r="O190" s="1">
        <f>SUM(O191:O217)</f>
        <v>0.49265000000000003</v>
      </c>
      <c r="P190" s="37" t="s">
        <v>50</v>
      </c>
      <c r="AI190" s="13" t="s">
        <v>51</v>
      </c>
      <c r="AS190" s="1">
        <f>SUM(AJ191:AJ217)</f>
        <v>0</v>
      </c>
      <c r="AT190" s="1">
        <f>SUM(AK191:AK217)</f>
        <v>0</v>
      </c>
      <c r="AU190" s="1">
        <f>SUM(AL191:AL217)</f>
        <v>0</v>
      </c>
    </row>
    <row r="191" spans="1:76" x14ac:dyDescent="0.25">
      <c r="A191" s="2" t="s">
        <v>470</v>
      </c>
      <c r="B191" s="3" t="s">
        <v>51</v>
      </c>
      <c r="C191" s="3" t="s">
        <v>471</v>
      </c>
      <c r="D191" s="113" t="s">
        <v>472</v>
      </c>
      <c r="E191" s="110"/>
      <c r="F191" s="3" t="s">
        <v>66</v>
      </c>
      <c r="G191" s="38">
        <v>2</v>
      </c>
      <c r="H191" s="103"/>
      <c r="I191" s="39">
        <v>21</v>
      </c>
      <c r="J191" s="38">
        <f>ROUND(G191*AO191,2)</f>
        <v>0</v>
      </c>
      <c r="K191" s="38">
        <f>ROUND(G191*AP191,2)</f>
        <v>0</v>
      </c>
      <c r="L191" s="38">
        <f>ROUND(G191*H191,2)</f>
        <v>0</v>
      </c>
      <c r="M191" s="38">
        <f>L191*(1+BW191/100)</f>
        <v>0</v>
      </c>
      <c r="N191" s="38">
        <v>6.4999999999999997E-4</v>
      </c>
      <c r="O191" s="38">
        <f>G191*N191</f>
        <v>1.2999999999999999E-3</v>
      </c>
      <c r="P191" s="40" t="s">
        <v>59</v>
      </c>
      <c r="Z191" s="38">
        <f>ROUND(IF(AQ191="5",BJ191,0),2)</f>
        <v>0</v>
      </c>
      <c r="AB191" s="38">
        <f>ROUND(IF(AQ191="1",BH191,0),2)</f>
        <v>0</v>
      </c>
      <c r="AC191" s="38">
        <f>ROUND(IF(AQ191="1",BI191,0),2)</f>
        <v>0</v>
      </c>
      <c r="AD191" s="38">
        <f>ROUND(IF(AQ191="7",BH191,0),2)</f>
        <v>0</v>
      </c>
      <c r="AE191" s="38">
        <f>ROUND(IF(AQ191="7",BI191,0),2)</f>
        <v>0</v>
      </c>
      <c r="AF191" s="38">
        <f>ROUND(IF(AQ191="2",BH191,0),2)</f>
        <v>0</v>
      </c>
      <c r="AG191" s="38">
        <f>ROUND(IF(AQ191="2",BI191,0),2)</f>
        <v>0</v>
      </c>
      <c r="AH191" s="38">
        <f>ROUND(IF(AQ191="0",BJ191,0),2)</f>
        <v>0</v>
      </c>
      <c r="AI191" s="13" t="s">
        <v>51</v>
      </c>
      <c r="AJ191" s="38">
        <f>IF(AN191=0,L191,0)</f>
        <v>0</v>
      </c>
      <c r="AK191" s="38">
        <f>IF(AN191=12,L191,0)</f>
        <v>0</v>
      </c>
      <c r="AL191" s="38">
        <f>IF(AN191=21,L191,0)</f>
        <v>0</v>
      </c>
      <c r="AN191" s="38">
        <v>21</v>
      </c>
      <c r="AO191" s="38">
        <f>H191*0.01929082</f>
        <v>0</v>
      </c>
      <c r="AP191" s="38">
        <f>H191*(1-0.01929082)</f>
        <v>0</v>
      </c>
      <c r="AQ191" s="41" t="s">
        <v>84</v>
      </c>
      <c r="AV191" s="38">
        <f>ROUND(AW191+AX191,2)</f>
        <v>0</v>
      </c>
      <c r="AW191" s="38">
        <f>ROUND(G191*AO191,2)</f>
        <v>0</v>
      </c>
      <c r="AX191" s="38">
        <f>ROUND(G191*AP191,2)</f>
        <v>0</v>
      </c>
      <c r="AY191" s="41" t="s">
        <v>473</v>
      </c>
      <c r="AZ191" s="41" t="s">
        <v>474</v>
      </c>
      <c r="BA191" s="13" t="s">
        <v>62</v>
      </c>
      <c r="BC191" s="38">
        <f>AW191+AX191</f>
        <v>0</v>
      </c>
      <c r="BD191" s="38">
        <f>H191/(100-BE191)*100</f>
        <v>0</v>
      </c>
      <c r="BE191" s="38">
        <v>0</v>
      </c>
      <c r="BF191" s="38">
        <f>O191</f>
        <v>1.2999999999999999E-3</v>
      </c>
      <c r="BH191" s="38">
        <f>G191*AO191</f>
        <v>0</v>
      </c>
      <c r="BI191" s="38">
        <f>G191*AP191</f>
        <v>0</v>
      </c>
      <c r="BJ191" s="38">
        <f>G191*H191</f>
        <v>0</v>
      </c>
      <c r="BK191" s="38"/>
      <c r="BL191" s="38">
        <v>766</v>
      </c>
      <c r="BW191" s="38">
        <f>I191</f>
        <v>21</v>
      </c>
      <c r="BX191" s="5" t="s">
        <v>472</v>
      </c>
    </row>
    <row r="192" spans="1:76" x14ac:dyDescent="0.25">
      <c r="A192" s="42"/>
      <c r="C192" s="43" t="s">
        <v>67</v>
      </c>
      <c r="D192" s="179" t="s">
        <v>475</v>
      </c>
      <c r="E192" s="180"/>
      <c r="F192" s="180"/>
      <c r="G192" s="180"/>
      <c r="H192" s="180"/>
      <c r="I192" s="180"/>
      <c r="J192" s="180"/>
      <c r="K192" s="180"/>
      <c r="L192" s="180"/>
      <c r="M192" s="180"/>
      <c r="N192" s="180"/>
      <c r="O192" s="180"/>
      <c r="P192" s="181"/>
      <c r="BX192" s="44" t="s">
        <v>475</v>
      </c>
    </row>
    <row r="193" spans="1:76" x14ac:dyDescent="0.25">
      <c r="A193" s="2" t="s">
        <v>476</v>
      </c>
      <c r="B193" s="3" t="s">
        <v>51</v>
      </c>
      <c r="C193" s="3" t="s">
        <v>477</v>
      </c>
      <c r="D193" s="113" t="s">
        <v>478</v>
      </c>
      <c r="E193" s="110"/>
      <c r="F193" s="3" t="s">
        <v>66</v>
      </c>
      <c r="G193" s="38">
        <v>2</v>
      </c>
      <c r="H193" s="103"/>
      <c r="I193" s="39">
        <v>21</v>
      </c>
      <c r="J193" s="38">
        <f>ROUND(G193*AO193,2)</f>
        <v>0</v>
      </c>
      <c r="K193" s="38">
        <f>ROUND(G193*AP193,2)</f>
        <v>0</v>
      </c>
      <c r="L193" s="38">
        <f>ROUND(G193*H193,2)</f>
        <v>0</v>
      </c>
      <c r="M193" s="38">
        <f>L193*(1+BW193/100)</f>
        <v>0</v>
      </c>
      <c r="N193" s="38">
        <v>3.5000000000000003E-2</v>
      </c>
      <c r="O193" s="38">
        <f>G193*N193</f>
        <v>7.0000000000000007E-2</v>
      </c>
      <c r="P193" s="40" t="s">
        <v>59</v>
      </c>
      <c r="Z193" s="38">
        <f>ROUND(IF(AQ193="5",BJ193,0),2)</f>
        <v>0</v>
      </c>
      <c r="AB193" s="38">
        <f>ROUND(IF(AQ193="1",BH193,0),2)</f>
        <v>0</v>
      </c>
      <c r="AC193" s="38">
        <f>ROUND(IF(AQ193="1",BI193,0),2)</f>
        <v>0</v>
      </c>
      <c r="AD193" s="38">
        <f>ROUND(IF(AQ193="7",BH193,0),2)</f>
        <v>0</v>
      </c>
      <c r="AE193" s="38">
        <f>ROUND(IF(AQ193="7",BI193,0),2)</f>
        <v>0</v>
      </c>
      <c r="AF193" s="38">
        <f>ROUND(IF(AQ193="2",BH193,0),2)</f>
        <v>0</v>
      </c>
      <c r="AG193" s="38">
        <f>ROUND(IF(AQ193="2",BI193,0),2)</f>
        <v>0</v>
      </c>
      <c r="AH193" s="38">
        <f>ROUND(IF(AQ193="0",BJ193,0),2)</f>
        <v>0</v>
      </c>
      <c r="AI193" s="13" t="s">
        <v>51</v>
      </c>
      <c r="AJ193" s="38">
        <f>IF(AN193=0,L193,0)</f>
        <v>0</v>
      </c>
      <c r="AK193" s="38">
        <f>IF(AN193=12,L193,0)</f>
        <v>0</v>
      </c>
      <c r="AL193" s="38">
        <f>IF(AN193=21,L193,0)</f>
        <v>0</v>
      </c>
      <c r="AN193" s="38">
        <v>21</v>
      </c>
      <c r="AO193" s="38">
        <f>H193*1</f>
        <v>0</v>
      </c>
      <c r="AP193" s="38">
        <f>H193*(1-1)</f>
        <v>0</v>
      </c>
      <c r="AQ193" s="41" t="s">
        <v>84</v>
      </c>
      <c r="AV193" s="38">
        <f>ROUND(AW193+AX193,2)</f>
        <v>0</v>
      </c>
      <c r="AW193" s="38">
        <f>ROUND(G193*AO193,2)</f>
        <v>0</v>
      </c>
      <c r="AX193" s="38">
        <f>ROUND(G193*AP193,2)</f>
        <v>0</v>
      </c>
      <c r="AY193" s="41" t="s">
        <v>473</v>
      </c>
      <c r="AZ193" s="41" t="s">
        <v>474</v>
      </c>
      <c r="BA193" s="13" t="s">
        <v>62</v>
      </c>
      <c r="BC193" s="38">
        <f>AW193+AX193</f>
        <v>0</v>
      </c>
      <c r="BD193" s="38">
        <f>H193/(100-BE193)*100</f>
        <v>0</v>
      </c>
      <c r="BE193" s="38">
        <v>0</v>
      </c>
      <c r="BF193" s="38">
        <f>O193</f>
        <v>7.0000000000000007E-2</v>
      </c>
      <c r="BH193" s="38">
        <f>G193*AO193</f>
        <v>0</v>
      </c>
      <c r="BI193" s="38">
        <f>G193*AP193</f>
        <v>0</v>
      </c>
      <c r="BJ193" s="38">
        <f>G193*H193</f>
        <v>0</v>
      </c>
      <c r="BK193" s="38"/>
      <c r="BL193" s="38">
        <v>766</v>
      </c>
      <c r="BW193" s="38">
        <f>I193</f>
        <v>21</v>
      </c>
      <c r="BX193" s="5" t="s">
        <v>478</v>
      </c>
    </row>
    <row r="194" spans="1:76" ht="51" x14ac:dyDescent="0.25">
      <c r="A194" s="42"/>
      <c r="C194" s="43" t="s">
        <v>67</v>
      </c>
      <c r="D194" s="179" t="s">
        <v>479</v>
      </c>
      <c r="E194" s="180"/>
      <c r="F194" s="180"/>
      <c r="G194" s="180"/>
      <c r="H194" s="180"/>
      <c r="I194" s="180"/>
      <c r="J194" s="180"/>
      <c r="K194" s="180"/>
      <c r="L194" s="180"/>
      <c r="M194" s="180"/>
      <c r="N194" s="180"/>
      <c r="O194" s="180"/>
      <c r="P194" s="181"/>
      <c r="BX194" s="44" t="s">
        <v>479</v>
      </c>
    </row>
    <row r="195" spans="1:76" x14ac:dyDescent="0.25">
      <c r="A195" s="2" t="s">
        <v>480</v>
      </c>
      <c r="B195" s="3" t="s">
        <v>51</v>
      </c>
      <c r="C195" s="3" t="s">
        <v>481</v>
      </c>
      <c r="D195" s="113" t="s">
        <v>482</v>
      </c>
      <c r="E195" s="110"/>
      <c r="F195" s="3" t="s">
        <v>66</v>
      </c>
      <c r="G195" s="38">
        <v>2</v>
      </c>
      <c r="H195" s="103"/>
      <c r="I195" s="39">
        <v>21</v>
      </c>
      <c r="J195" s="38">
        <f>ROUND(G195*AO195,2)</f>
        <v>0</v>
      </c>
      <c r="K195" s="38">
        <f>ROUND(G195*AP195,2)</f>
        <v>0</v>
      </c>
      <c r="L195" s="38">
        <f>ROUND(G195*H195,2)</f>
        <v>0</v>
      </c>
      <c r="M195" s="38">
        <f>L195*(1+BW195/100)</f>
        <v>0</v>
      </c>
      <c r="N195" s="38">
        <v>0.05</v>
      </c>
      <c r="O195" s="38">
        <f>G195*N195</f>
        <v>0.1</v>
      </c>
      <c r="P195" s="40" t="s">
        <v>114</v>
      </c>
      <c r="Z195" s="38">
        <f>ROUND(IF(AQ195="5",BJ195,0),2)</f>
        <v>0</v>
      </c>
      <c r="AB195" s="38">
        <f>ROUND(IF(AQ195="1",BH195,0),2)</f>
        <v>0</v>
      </c>
      <c r="AC195" s="38">
        <f>ROUND(IF(AQ195="1",BI195,0),2)</f>
        <v>0</v>
      </c>
      <c r="AD195" s="38">
        <f>ROUND(IF(AQ195="7",BH195,0),2)</f>
        <v>0</v>
      </c>
      <c r="AE195" s="38">
        <f>ROUND(IF(AQ195="7",BI195,0),2)</f>
        <v>0</v>
      </c>
      <c r="AF195" s="38">
        <f>ROUND(IF(AQ195="2",BH195,0),2)</f>
        <v>0</v>
      </c>
      <c r="AG195" s="38">
        <f>ROUND(IF(AQ195="2",BI195,0),2)</f>
        <v>0</v>
      </c>
      <c r="AH195" s="38">
        <f>ROUND(IF(AQ195="0",BJ195,0),2)</f>
        <v>0</v>
      </c>
      <c r="AI195" s="13" t="s">
        <v>51</v>
      </c>
      <c r="AJ195" s="38">
        <f>IF(AN195=0,L195,0)</f>
        <v>0</v>
      </c>
      <c r="AK195" s="38">
        <f>IF(AN195=12,L195,0)</f>
        <v>0</v>
      </c>
      <c r="AL195" s="38">
        <f>IF(AN195=21,L195,0)</f>
        <v>0</v>
      </c>
      <c r="AN195" s="38">
        <v>21</v>
      </c>
      <c r="AO195" s="38">
        <f>H195*1</f>
        <v>0</v>
      </c>
      <c r="AP195" s="38">
        <f>H195*(1-1)</f>
        <v>0</v>
      </c>
      <c r="AQ195" s="41" t="s">
        <v>84</v>
      </c>
      <c r="AV195" s="38">
        <f>ROUND(AW195+AX195,2)</f>
        <v>0</v>
      </c>
      <c r="AW195" s="38">
        <f>ROUND(G195*AO195,2)</f>
        <v>0</v>
      </c>
      <c r="AX195" s="38">
        <f>ROUND(G195*AP195,2)</f>
        <v>0</v>
      </c>
      <c r="AY195" s="41" t="s">
        <v>473</v>
      </c>
      <c r="AZ195" s="41" t="s">
        <v>474</v>
      </c>
      <c r="BA195" s="13" t="s">
        <v>62</v>
      </c>
      <c r="BC195" s="38">
        <f>AW195+AX195</f>
        <v>0</v>
      </c>
      <c r="BD195" s="38">
        <f>H195/(100-BE195)*100</f>
        <v>0</v>
      </c>
      <c r="BE195" s="38">
        <v>0</v>
      </c>
      <c r="BF195" s="38">
        <f>O195</f>
        <v>0.1</v>
      </c>
      <c r="BH195" s="38">
        <f>G195*AO195</f>
        <v>0</v>
      </c>
      <c r="BI195" s="38">
        <f>G195*AP195</f>
        <v>0</v>
      </c>
      <c r="BJ195" s="38">
        <f>G195*H195</f>
        <v>0</v>
      </c>
      <c r="BK195" s="38"/>
      <c r="BL195" s="38">
        <v>766</v>
      </c>
      <c r="BW195" s="38">
        <f>I195</f>
        <v>21</v>
      </c>
      <c r="BX195" s="5" t="s">
        <v>482</v>
      </c>
    </row>
    <row r="196" spans="1:76" x14ac:dyDescent="0.25">
      <c r="A196" s="42"/>
      <c r="C196" s="43" t="s">
        <v>67</v>
      </c>
      <c r="D196" s="179" t="s">
        <v>483</v>
      </c>
      <c r="E196" s="180"/>
      <c r="F196" s="180"/>
      <c r="G196" s="180"/>
      <c r="H196" s="180"/>
      <c r="I196" s="180"/>
      <c r="J196" s="180"/>
      <c r="K196" s="180"/>
      <c r="L196" s="180"/>
      <c r="M196" s="180"/>
      <c r="N196" s="180"/>
      <c r="O196" s="180"/>
      <c r="P196" s="181"/>
      <c r="BX196" s="44" t="s">
        <v>483</v>
      </c>
    </row>
    <row r="197" spans="1:76" x14ac:dyDescent="0.25">
      <c r="A197" s="2" t="s">
        <v>484</v>
      </c>
      <c r="B197" s="3" t="s">
        <v>51</v>
      </c>
      <c r="C197" s="3" t="s">
        <v>485</v>
      </c>
      <c r="D197" s="113" t="s">
        <v>486</v>
      </c>
      <c r="E197" s="110"/>
      <c r="F197" s="3" t="s">
        <v>66</v>
      </c>
      <c r="G197" s="38">
        <v>5</v>
      </c>
      <c r="H197" s="103"/>
      <c r="I197" s="39">
        <v>21</v>
      </c>
      <c r="J197" s="38">
        <f>ROUND(G197*AO197,2)</f>
        <v>0</v>
      </c>
      <c r="K197" s="38">
        <f>ROUND(G197*AP197,2)</f>
        <v>0</v>
      </c>
      <c r="L197" s="38">
        <f>ROUND(G197*H197,2)</f>
        <v>0</v>
      </c>
      <c r="M197" s="38">
        <f>L197*(1+BW197/100)</f>
        <v>0</v>
      </c>
      <c r="N197" s="38">
        <v>2.0000000000000002E-5</v>
      </c>
      <c r="O197" s="38">
        <f>G197*N197</f>
        <v>1E-4</v>
      </c>
      <c r="P197" s="40" t="s">
        <v>59</v>
      </c>
      <c r="Z197" s="38">
        <f>ROUND(IF(AQ197="5",BJ197,0),2)</f>
        <v>0</v>
      </c>
      <c r="AB197" s="38">
        <f>ROUND(IF(AQ197="1",BH197,0),2)</f>
        <v>0</v>
      </c>
      <c r="AC197" s="38">
        <f>ROUND(IF(AQ197="1",BI197,0),2)</f>
        <v>0</v>
      </c>
      <c r="AD197" s="38">
        <f>ROUND(IF(AQ197="7",BH197,0),2)</f>
        <v>0</v>
      </c>
      <c r="AE197" s="38">
        <f>ROUND(IF(AQ197="7",BI197,0),2)</f>
        <v>0</v>
      </c>
      <c r="AF197" s="38">
        <f>ROUND(IF(AQ197="2",BH197,0),2)</f>
        <v>0</v>
      </c>
      <c r="AG197" s="38">
        <f>ROUND(IF(AQ197="2",BI197,0),2)</f>
        <v>0</v>
      </c>
      <c r="AH197" s="38">
        <f>ROUND(IF(AQ197="0",BJ197,0),2)</f>
        <v>0</v>
      </c>
      <c r="AI197" s="13" t="s">
        <v>51</v>
      </c>
      <c r="AJ197" s="38">
        <f>IF(AN197=0,L197,0)</f>
        <v>0</v>
      </c>
      <c r="AK197" s="38">
        <f>IF(AN197=12,L197,0)</f>
        <v>0</v>
      </c>
      <c r="AL197" s="38">
        <f>IF(AN197=21,L197,0)</f>
        <v>0</v>
      </c>
      <c r="AN197" s="38">
        <v>21</v>
      </c>
      <c r="AO197" s="38">
        <f>H197*0.026015936</f>
        <v>0</v>
      </c>
      <c r="AP197" s="38">
        <f>H197*(1-0.026015936)</f>
        <v>0</v>
      </c>
      <c r="AQ197" s="41" t="s">
        <v>84</v>
      </c>
      <c r="AV197" s="38">
        <f>ROUND(AW197+AX197,2)</f>
        <v>0</v>
      </c>
      <c r="AW197" s="38">
        <f>ROUND(G197*AO197,2)</f>
        <v>0</v>
      </c>
      <c r="AX197" s="38">
        <f>ROUND(G197*AP197,2)</f>
        <v>0</v>
      </c>
      <c r="AY197" s="41" t="s">
        <v>473</v>
      </c>
      <c r="AZ197" s="41" t="s">
        <v>474</v>
      </c>
      <c r="BA197" s="13" t="s">
        <v>62</v>
      </c>
      <c r="BC197" s="38">
        <f>AW197+AX197</f>
        <v>0</v>
      </c>
      <c r="BD197" s="38">
        <f>H197/(100-BE197)*100</f>
        <v>0</v>
      </c>
      <c r="BE197" s="38">
        <v>0</v>
      </c>
      <c r="BF197" s="38">
        <f>O197</f>
        <v>1E-4</v>
      </c>
      <c r="BH197" s="38">
        <f>G197*AO197</f>
        <v>0</v>
      </c>
      <c r="BI197" s="38">
        <f>G197*AP197</f>
        <v>0</v>
      </c>
      <c r="BJ197" s="38">
        <f>G197*H197</f>
        <v>0</v>
      </c>
      <c r="BK197" s="38"/>
      <c r="BL197" s="38">
        <v>766</v>
      </c>
      <c r="BW197" s="38">
        <f>I197</f>
        <v>21</v>
      </c>
      <c r="BX197" s="5" t="s">
        <v>486</v>
      </c>
    </row>
    <row r="198" spans="1:76" x14ac:dyDescent="0.25">
      <c r="A198" s="42"/>
      <c r="C198" s="43" t="s">
        <v>67</v>
      </c>
      <c r="D198" s="179" t="s">
        <v>487</v>
      </c>
      <c r="E198" s="180"/>
      <c r="F198" s="180"/>
      <c r="G198" s="180"/>
      <c r="H198" s="180"/>
      <c r="I198" s="180"/>
      <c r="J198" s="180"/>
      <c r="K198" s="180"/>
      <c r="L198" s="180"/>
      <c r="M198" s="180"/>
      <c r="N198" s="180"/>
      <c r="O198" s="180"/>
      <c r="P198" s="181"/>
      <c r="BX198" s="44" t="s">
        <v>487</v>
      </c>
    </row>
    <row r="199" spans="1:76" x14ac:dyDescent="0.25">
      <c r="A199" s="2" t="s">
        <v>488</v>
      </c>
      <c r="B199" s="3" t="s">
        <v>51</v>
      </c>
      <c r="C199" s="3" t="s">
        <v>489</v>
      </c>
      <c r="D199" s="113" t="s">
        <v>814</v>
      </c>
      <c r="E199" s="110"/>
      <c r="F199" s="3" t="s">
        <v>66</v>
      </c>
      <c r="G199" s="38">
        <v>2</v>
      </c>
      <c r="H199" s="103"/>
      <c r="I199" s="39">
        <v>21</v>
      </c>
      <c r="J199" s="38">
        <f>ROUND(G199*AO199,2)</f>
        <v>0</v>
      </c>
      <c r="K199" s="38">
        <f>ROUND(G199*AP199,2)</f>
        <v>0</v>
      </c>
      <c r="L199" s="38">
        <f>ROUND(G199*H199,2)</f>
        <v>0</v>
      </c>
      <c r="M199" s="38">
        <f>L199*(1+BW199/100)</f>
        <v>0</v>
      </c>
      <c r="N199" s="38">
        <v>1.6E-2</v>
      </c>
      <c r="O199" s="38">
        <f>G199*N199</f>
        <v>3.2000000000000001E-2</v>
      </c>
      <c r="P199" s="40" t="s">
        <v>59</v>
      </c>
      <c r="Z199" s="38">
        <f>ROUND(IF(AQ199="5",BJ199,0),2)</f>
        <v>0</v>
      </c>
      <c r="AB199" s="38">
        <f>ROUND(IF(AQ199="1",BH199,0),2)</f>
        <v>0</v>
      </c>
      <c r="AC199" s="38">
        <f>ROUND(IF(AQ199="1",BI199,0),2)</f>
        <v>0</v>
      </c>
      <c r="AD199" s="38">
        <f>ROUND(IF(AQ199="7",BH199,0),2)</f>
        <v>0</v>
      </c>
      <c r="AE199" s="38">
        <f>ROUND(IF(AQ199="7",BI199,0),2)</f>
        <v>0</v>
      </c>
      <c r="AF199" s="38">
        <f>ROUND(IF(AQ199="2",BH199,0),2)</f>
        <v>0</v>
      </c>
      <c r="AG199" s="38">
        <f>ROUND(IF(AQ199="2",BI199,0),2)</f>
        <v>0</v>
      </c>
      <c r="AH199" s="38">
        <f>ROUND(IF(AQ199="0",BJ199,0),2)</f>
        <v>0</v>
      </c>
      <c r="AI199" s="13" t="s">
        <v>51</v>
      </c>
      <c r="AJ199" s="38">
        <f>IF(AN199=0,L199,0)</f>
        <v>0</v>
      </c>
      <c r="AK199" s="38">
        <f>IF(AN199=12,L199,0)</f>
        <v>0</v>
      </c>
      <c r="AL199" s="38">
        <f>IF(AN199=21,L199,0)</f>
        <v>0</v>
      </c>
      <c r="AN199" s="38">
        <v>21</v>
      </c>
      <c r="AO199" s="38">
        <f>H199*1</f>
        <v>0</v>
      </c>
      <c r="AP199" s="38">
        <f>H199*(1-1)</f>
        <v>0</v>
      </c>
      <c r="AQ199" s="41" t="s">
        <v>84</v>
      </c>
      <c r="AV199" s="38">
        <f>ROUND(AW199+AX199,2)</f>
        <v>0</v>
      </c>
      <c r="AW199" s="38">
        <f>ROUND(G199*AO199,2)</f>
        <v>0</v>
      </c>
      <c r="AX199" s="38">
        <f>ROUND(G199*AP199,2)</f>
        <v>0</v>
      </c>
      <c r="AY199" s="41" t="s">
        <v>473</v>
      </c>
      <c r="AZ199" s="41" t="s">
        <v>474</v>
      </c>
      <c r="BA199" s="13" t="s">
        <v>62</v>
      </c>
      <c r="BC199" s="38">
        <f>AW199+AX199</f>
        <v>0</v>
      </c>
      <c r="BD199" s="38">
        <f>H199/(100-BE199)*100</f>
        <v>0</v>
      </c>
      <c r="BE199" s="38">
        <v>0</v>
      </c>
      <c r="BF199" s="38">
        <f>O199</f>
        <v>3.2000000000000001E-2</v>
      </c>
      <c r="BH199" s="38">
        <f>G199*AO199</f>
        <v>0</v>
      </c>
      <c r="BI199" s="38">
        <f>G199*AP199</f>
        <v>0</v>
      </c>
      <c r="BJ199" s="38">
        <f>G199*H199</f>
        <v>0</v>
      </c>
      <c r="BK199" s="38"/>
      <c r="BL199" s="38">
        <v>766</v>
      </c>
      <c r="BW199" s="38">
        <f>I199</f>
        <v>21</v>
      </c>
      <c r="BX199" s="5" t="s">
        <v>490</v>
      </c>
    </row>
    <row r="200" spans="1:76" ht="25.5" x14ac:dyDescent="0.25">
      <c r="A200" s="42"/>
      <c r="C200" s="43" t="s">
        <v>67</v>
      </c>
      <c r="D200" s="179" t="s">
        <v>491</v>
      </c>
      <c r="E200" s="180"/>
      <c r="F200" s="180"/>
      <c r="G200" s="180"/>
      <c r="H200" s="180"/>
      <c r="I200" s="180"/>
      <c r="J200" s="180"/>
      <c r="K200" s="180"/>
      <c r="L200" s="180"/>
      <c r="M200" s="180"/>
      <c r="N200" s="180"/>
      <c r="O200" s="180"/>
      <c r="P200" s="181"/>
      <c r="BX200" s="44" t="s">
        <v>491</v>
      </c>
    </row>
    <row r="201" spans="1:76" x14ac:dyDescent="0.25">
      <c r="A201" s="2" t="s">
        <v>492</v>
      </c>
      <c r="B201" s="3" t="s">
        <v>51</v>
      </c>
      <c r="C201" s="3" t="s">
        <v>493</v>
      </c>
      <c r="D201" s="113" t="s">
        <v>494</v>
      </c>
      <c r="E201" s="110"/>
      <c r="F201" s="3" t="s">
        <v>66</v>
      </c>
      <c r="G201" s="38">
        <v>2</v>
      </c>
      <c r="H201" s="103"/>
      <c r="I201" s="39">
        <v>21</v>
      </c>
      <c r="J201" s="38">
        <f>ROUND(G201*AO201,2)</f>
        <v>0</v>
      </c>
      <c r="K201" s="38">
        <f>ROUND(G201*AP201,2)</f>
        <v>0</v>
      </c>
      <c r="L201" s="38">
        <f>ROUND(G201*H201,2)</f>
        <v>0</v>
      </c>
      <c r="M201" s="38">
        <f>L201*(1+BW201/100)</f>
        <v>0</v>
      </c>
      <c r="N201" s="38">
        <v>3.5000000000000003E-2</v>
      </c>
      <c r="O201" s="38">
        <f>G201*N201</f>
        <v>7.0000000000000007E-2</v>
      </c>
      <c r="P201" s="40" t="s">
        <v>59</v>
      </c>
      <c r="Z201" s="38">
        <f>ROUND(IF(AQ201="5",BJ201,0),2)</f>
        <v>0</v>
      </c>
      <c r="AB201" s="38">
        <f>ROUND(IF(AQ201="1",BH201,0),2)</f>
        <v>0</v>
      </c>
      <c r="AC201" s="38">
        <f>ROUND(IF(AQ201="1",BI201,0),2)</f>
        <v>0</v>
      </c>
      <c r="AD201" s="38">
        <f>ROUND(IF(AQ201="7",BH201,0),2)</f>
        <v>0</v>
      </c>
      <c r="AE201" s="38">
        <f>ROUND(IF(AQ201="7",BI201,0),2)</f>
        <v>0</v>
      </c>
      <c r="AF201" s="38">
        <f>ROUND(IF(AQ201="2",BH201,0),2)</f>
        <v>0</v>
      </c>
      <c r="AG201" s="38">
        <f>ROUND(IF(AQ201="2",BI201,0),2)</f>
        <v>0</v>
      </c>
      <c r="AH201" s="38">
        <f>ROUND(IF(AQ201="0",BJ201,0),2)</f>
        <v>0</v>
      </c>
      <c r="AI201" s="13" t="s">
        <v>51</v>
      </c>
      <c r="AJ201" s="38">
        <f>IF(AN201=0,L201,0)</f>
        <v>0</v>
      </c>
      <c r="AK201" s="38">
        <f>IF(AN201=12,L201,0)</f>
        <v>0</v>
      </c>
      <c r="AL201" s="38">
        <f>IF(AN201=21,L201,0)</f>
        <v>0</v>
      </c>
      <c r="AN201" s="38">
        <v>21</v>
      </c>
      <c r="AO201" s="38">
        <f>H201*1</f>
        <v>0</v>
      </c>
      <c r="AP201" s="38">
        <f>H201*(1-1)</f>
        <v>0</v>
      </c>
      <c r="AQ201" s="41" t="s">
        <v>84</v>
      </c>
      <c r="AV201" s="38">
        <f>ROUND(AW201+AX201,2)</f>
        <v>0</v>
      </c>
      <c r="AW201" s="38">
        <f>ROUND(G201*AO201,2)</f>
        <v>0</v>
      </c>
      <c r="AX201" s="38">
        <f>ROUND(G201*AP201,2)</f>
        <v>0</v>
      </c>
      <c r="AY201" s="41" t="s">
        <v>473</v>
      </c>
      <c r="AZ201" s="41" t="s">
        <v>474</v>
      </c>
      <c r="BA201" s="13" t="s">
        <v>62</v>
      </c>
      <c r="BC201" s="38">
        <f>AW201+AX201</f>
        <v>0</v>
      </c>
      <c r="BD201" s="38">
        <f>H201/(100-BE201)*100</f>
        <v>0</v>
      </c>
      <c r="BE201" s="38">
        <v>0</v>
      </c>
      <c r="BF201" s="38">
        <f>O201</f>
        <v>7.0000000000000007E-2</v>
      </c>
      <c r="BH201" s="38">
        <f>G201*AO201</f>
        <v>0</v>
      </c>
      <c r="BI201" s="38">
        <f>G201*AP201</f>
        <v>0</v>
      </c>
      <c r="BJ201" s="38">
        <f>G201*H201</f>
        <v>0</v>
      </c>
      <c r="BK201" s="38"/>
      <c r="BL201" s="38">
        <v>766</v>
      </c>
      <c r="BW201" s="38">
        <f>I201</f>
        <v>21</v>
      </c>
      <c r="BX201" s="5" t="s">
        <v>494</v>
      </c>
    </row>
    <row r="202" spans="1:76" ht="25.5" x14ac:dyDescent="0.25">
      <c r="A202" s="42"/>
      <c r="C202" s="43" t="s">
        <v>67</v>
      </c>
      <c r="D202" s="179" t="s">
        <v>495</v>
      </c>
      <c r="E202" s="180"/>
      <c r="F202" s="180"/>
      <c r="G202" s="180"/>
      <c r="H202" s="180"/>
      <c r="I202" s="180"/>
      <c r="J202" s="180"/>
      <c r="K202" s="180"/>
      <c r="L202" s="180"/>
      <c r="M202" s="180"/>
      <c r="N202" s="180"/>
      <c r="O202" s="180"/>
      <c r="P202" s="181"/>
      <c r="BX202" s="44" t="s">
        <v>495</v>
      </c>
    </row>
    <row r="203" spans="1:76" x14ac:dyDescent="0.25">
      <c r="A203" s="2" t="s">
        <v>496</v>
      </c>
      <c r="B203" s="3" t="s">
        <v>51</v>
      </c>
      <c r="C203" s="3" t="s">
        <v>497</v>
      </c>
      <c r="D203" s="113" t="s">
        <v>498</v>
      </c>
      <c r="E203" s="110"/>
      <c r="F203" s="3" t="s">
        <v>66</v>
      </c>
      <c r="G203" s="38">
        <v>1</v>
      </c>
      <c r="H203" s="103"/>
      <c r="I203" s="39">
        <v>21</v>
      </c>
      <c r="J203" s="38">
        <f>ROUND(G203*AO203,2)</f>
        <v>0</v>
      </c>
      <c r="K203" s="38">
        <f>ROUND(G203*AP203,2)</f>
        <v>0</v>
      </c>
      <c r="L203" s="38">
        <f>ROUND(G203*H203,2)</f>
        <v>0</v>
      </c>
      <c r="M203" s="38">
        <f>L203*(1+BW203/100)</f>
        <v>0</v>
      </c>
      <c r="N203" s="38">
        <v>3.5999999999999997E-2</v>
      </c>
      <c r="O203" s="38">
        <f>G203*N203</f>
        <v>3.5999999999999997E-2</v>
      </c>
      <c r="P203" s="40" t="s">
        <v>59</v>
      </c>
      <c r="Z203" s="38">
        <f>ROUND(IF(AQ203="5",BJ203,0),2)</f>
        <v>0</v>
      </c>
      <c r="AB203" s="38">
        <f>ROUND(IF(AQ203="1",BH203,0),2)</f>
        <v>0</v>
      </c>
      <c r="AC203" s="38">
        <f>ROUND(IF(AQ203="1",BI203,0),2)</f>
        <v>0</v>
      </c>
      <c r="AD203" s="38">
        <f>ROUND(IF(AQ203="7",BH203,0),2)</f>
        <v>0</v>
      </c>
      <c r="AE203" s="38">
        <f>ROUND(IF(AQ203="7",BI203,0),2)</f>
        <v>0</v>
      </c>
      <c r="AF203" s="38">
        <f>ROUND(IF(AQ203="2",BH203,0),2)</f>
        <v>0</v>
      </c>
      <c r="AG203" s="38">
        <f>ROUND(IF(AQ203="2",BI203,0),2)</f>
        <v>0</v>
      </c>
      <c r="AH203" s="38">
        <f>ROUND(IF(AQ203="0",BJ203,0),2)</f>
        <v>0</v>
      </c>
      <c r="AI203" s="13" t="s">
        <v>51</v>
      </c>
      <c r="AJ203" s="38">
        <f>IF(AN203=0,L203,0)</f>
        <v>0</v>
      </c>
      <c r="AK203" s="38">
        <f>IF(AN203=12,L203,0)</f>
        <v>0</v>
      </c>
      <c r="AL203" s="38">
        <f>IF(AN203=21,L203,0)</f>
        <v>0</v>
      </c>
      <c r="AN203" s="38">
        <v>21</v>
      </c>
      <c r="AO203" s="38">
        <f>H203*1</f>
        <v>0</v>
      </c>
      <c r="AP203" s="38">
        <f>H203*(1-1)</f>
        <v>0</v>
      </c>
      <c r="AQ203" s="41" t="s">
        <v>84</v>
      </c>
      <c r="AV203" s="38">
        <f>ROUND(AW203+AX203,2)</f>
        <v>0</v>
      </c>
      <c r="AW203" s="38">
        <f>ROUND(G203*AO203,2)</f>
        <v>0</v>
      </c>
      <c r="AX203" s="38">
        <f>ROUND(G203*AP203,2)</f>
        <v>0</v>
      </c>
      <c r="AY203" s="41" t="s">
        <v>473</v>
      </c>
      <c r="AZ203" s="41" t="s">
        <v>474</v>
      </c>
      <c r="BA203" s="13" t="s">
        <v>62</v>
      </c>
      <c r="BC203" s="38">
        <f>AW203+AX203</f>
        <v>0</v>
      </c>
      <c r="BD203" s="38">
        <f>H203/(100-BE203)*100</f>
        <v>0</v>
      </c>
      <c r="BE203" s="38">
        <v>0</v>
      </c>
      <c r="BF203" s="38">
        <f>O203</f>
        <v>3.5999999999999997E-2</v>
      </c>
      <c r="BH203" s="38">
        <f>G203*AO203</f>
        <v>0</v>
      </c>
      <c r="BI203" s="38">
        <f>G203*AP203</f>
        <v>0</v>
      </c>
      <c r="BJ203" s="38">
        <f>G203*H203</f>
        <v>0</v>
      </c>
      <c r="BK203" s="38"/>
      <c r="BL203" s="38">
        <v>766</v>
      </c>
      <c r="BW203" s="38">
        <f>I203</f>
        <v>21</v>
      </c>
      <c r="BX203" s="5" t="s">
        <v>498</v>
      </c>
    </row>
    <row r="204" spans="1:76" ht="25.5" x14ac:dyDescent="0.25">
      <c r="A204" s="42"/>
      <c r="C204" s="43" t="s">
        <v>67</v>
      </c>
      <c r="D204" s="179" t="s">
        <v>499</v>
      </c>
      <c r="E204" s="180"/>
      <c r="F204" s="180"/>
      <c r="G204" s="180"/>
      <c r="H204" s="180"/>
      <c r="I204" s="180"/>
      <c r="J204" s="180"/>
      <c r="K204" s="180"/>
      <c r="L204" s="180"/>
      <c r="M204" s="180"/>
      <c r="N204" s="180"/>
      <c r="O204" s="180"/>
      <c r="P204" s="181"/>
      <c r="BX204" s="44" t="s">
        <v>499</v>
      </c>
    </row>
    <row r="205" spans="1:76" x14ac:dyDescent="0.25">
      <c r="A205" s="2" t="s">
        <v>500</v>
      </c>
      <c r="B205" s="3" t="s">
        <v>51</v>
      </c>
      <c r="C205" s="3" t="s">
        <v>501</v>
      </c>
      <c r="D205" s="113" t="s">
        <v>502</v>
      </c>
      <c r="E205" s="110"/>
      <c r="F205" s="3" t="s">
        <v>66</v>
      </c>
      <c r="G205" s="38">
        <v>4</v>
      </c>
      <c r="H205" s="103"/>
      <c r="I205" s="39">
        <v>21</v>
      </c>
      <c r="J205" s="38">
        <f>ROUND(G205*AO205,2)</f>
        <v>0</v>
      </c>
      <c r="K205" s="38">
        <f>ROUND(G205*AP205,2)</f>
        <v>0</v>
      </c>
      <c r="L205" s="38">
        <f>ROUND(G205*H205,2)</f>
        <v>0</v>
      </c>
      <c r="M205" s="38">
        <f>L205*(1+BW205/100)</f>
        <v>0</v>
      </c>
      <c r="N205" s="38">
        <v>0</v>
      </c>
      <c r="O205" s="38">
        <f>G205*N205</f>
        <v>0</v>
      </c>
      <c r="P205" s="40" t="s">
        <v>59</v>
      </c>
      <c r="Z205" s="38">
        <f>ROUND(IF(AQ205="5",BJ205,0),2)</f>
        <v>0</v>
      </c>
      <c r="AB205" s="38">
        <f>ROUND(IF(AQ205="1",BH205,0),2)</f>
        <v>0</v>
      </c>
      <c r="AC205" s="38">
        <f>ROUND(IF(AQ205="1",BI205,0),2)</f>
        <v>0</v>
      </c>
      <c r="AD205" s="38">
        <f>ROUND(IF(AQ205="7",BH205,0),2)</f>
        <v>0</v>
      </c>
      <c r="AE205" s="38">
        <f>ROUND(IF(AQ205="7",BI205,0),2)</f>
        <v>0</v>
      </c>
      <c r="AF205" s="38">
        <f>ROUND(IF(AQ205="2",BH205,0),2)</f>
        <v>0</v>
      </c>
      <c r="AG205" s="38">
        <f>ROUND(IF(AQ205="2",BI205,0),2)</f>
        <v>0</v>
      </c>
      <c r="AH205" s="38">
        <f>ROUND(IF(AQ205="0",BJ205,0),2)</f>
        <v>0</v>
      </c>
      <c r="AI205" s="13" t="s">
        <v>51</v>
      </c>
      <c r="AJ205" s="38">
        <f>IF(AN205=0,L205,0)</f>
        <v>0</v>
      </c>
      <c r="AK205" s="38">
        <f>IF(AN205=12,L205,0)</f>
        <v>0</v>
      </c>
      <c r="AL205" s="38">
        <f>IF(AN205=21,L205,0)</f>
        <v>0</v>
      </c>
      <c r="AN205" s="38">
        <v>21</v>
      </c>
      <c r="AO205" s="38">
        <f>H205*0</f>
        <v>0</v>
      </c>
      <c r="AP205" s="38">
        <f>H205*(1-0)</f>
        <v>0</v>
      </c>
      <c r="AQ205" s="41" t="s">
        <v>84</v>
      </c>
      <c r="AV205" s="38">
        <f>ROUND(AW205+AX205,2)</f>
        <v>0</v>
      </c>
      <c r="AW205" s="38">
        <f>ROUND(G205*AO205,2)</f>
        <v>0</v>
      </c>
      <c r="AX205" s="38">
        <f>ROUND(G205*AP205,2)</f>
        <v>0</v>
      </c>
      <c r="AY205" s="41" t="s">
        <v>473</v>
      </c>
      <c r="AZ205" s="41" t="s">
        <v>474</v>
      </c>
      <c r="BA205" s="13" t="s">
        <v>62</v>
      </c>
      <c r="BC205" s="38">
        <f>AW205+AX205</f>
        <v>0</v>
      </c>
      <c r="BD205" s="38">
        <f>H205/(100-BE205)*100</f>
        <v>0</v>
      </c>
      <c r="BE205" s="38">
        <v>0</v>
      </c>
      <c r="BF205" s="38">
        <f>O205</f>
        <v>0</v>
      </c>
      <c r="BH205" s="38">
        <f>G205*AO205</f>
        <v>0</v>
      </c>
      <c r="BI205" s="38">
        <f>G205*AP205</f>
        <v>0</v>
      </c>
      <c r="BJ205" s="38">
        <f>G205*H205</f>
        <v>0</v>
      </c>
      <c r="BK205" s="38"/>
      <c r="BL205" s="38">
        <v>766</v>
      </c>
      <c r="BW205" s="38">
        <f>I205</f>
        <v>21</v>
      </c>
      <c r="BX205" s="5" t="s">
        <v>502</v>
      </c>
    </row>
    <row r="206" spans="1:76" x14ac:dyDescent="0.25">
      <c r="A206" s="2" t="s">
        <v>503</v>
      </c>
      <c r="B206" s="3" t="s">
        <v>51</v>
      </c>
      <c r="C206" s="3" t="s">
        <v>504</v>
      </c>
      <c r="D206" s="113" t="s">
        <v>505</v>
      </c>
      <c r="E206" s="110"/>
      <c r="F206" s="3" t="s">
        <v>66</v>
      </c>
      <c r="G206" s="38">
        <v>5</v>
      </c>
      <c r="H206" s="103"/>
      <c r="I206" s="39">
        <v>21</v>
      </c>
      <c r="J206" s="38">
        <f>ROUND(G206*AO206,2)</f>
        <v>0</v>
      </c>
      <c r="K206" s="38">
        <f>ROUND(G206*AP206,2)</f>
        <v>0</v>
      </c>
      <c r="L206" s="38">
        <f>ROUND(G206*H206,2)</f>
        <v>0</v>
      </c>
      <c r="M206" s="38">
        <f>L206*(1+BW206/100)</f>
        <v>0</v>
      </c>
      <c r="N206" s="38">
        <v>0.02</v>
      </c>
      <c r="O206" s="38">
        <f>G206*N206</f>
        <v>0.1</v>
      </c>
      <c r="P206" s="40" t="s">
        <v>59</v>
      </c>
      <c r="Z206" s="38">
        <f>ROUND(IF(AQ206="5",BJ206,0),2)</f>
        <v>0</v>
      </c>
      <c r="AB206" s="38">
        <f>ROUND(IF(AQ206="1",BH206,0),2)</f>
        <v>0</v>
      </c>
      <c r="AC206" s="38">
        <f>ROUND(IF(AQ206="1",BI206,0),2)</f>
        <v>0</v>
      </c>
      <c r="AD206" s="38">
        <f>ROUND(IF(AQ206="7",BH206,0),2)</f>
        <v>0</v>
      </c>
      <c r="AE206" s="38">
        <f>ROUND(IF(AQ206="7",BI206,0),2)</f>
        <v>0</v>
      </c>
      <c r="AF206" s="38">
        <f>ROUND(IF(AQ206="2",BH206,0),2)</f>
        <v>0</v>
      </c>
      <c r="AG206" s="38">
        <f>ROUND(IF(AQ206="2",BI206,0),2)</f>
        <v>0</v>
      </c>
      <c r="AH206" s="38">
        <f>ROUND(IF(AQ206="0",BJ206,0),2)</f>
        <v>0</v>
      </c>
      <c r="AI206" s="13" t="s">
        <v>51</v>
      </c>
      <c r="AJ206" s="38">
        <f>IF(AN206=0,L206,0)</f>
        <v>0</v>
      </c>
      <c r="AK206" s="38">
        <f>IF(AN206=12,L206,0)</f>
        <v>0</v>
      </c>
      <c r="AL206" s="38">
        <f>IF(AN206=21,L206,0)</f>
        <v>0</v>
      </c>
      <c r="AN206" s="38">
        <v>21</v>
      </c>
      <c r="AO206" s="38">
        <f>H206*1</f>
        <v>0</v>
      </c>
      <c r="AP206" s="38">
        <f>H206*(1-1)</f>
        <v>0</v>
      </c>
      <c r="AQ206" s="41" t="s">
        <v>84</v>
      </c>
      <c r="AV206" s="38">
        <f>ROUND(AW206+AX206,2)</f>
        <v>0</v>
      </c>
      <c r="AW206" s="38">
        <f>ROUND(G206*AO206,2)</f>
        <v>0</v>
      </c>
      <c r="AX206" s="38">
        <f>ROUND(G206*AP206,2)</f>
        <v>0</v>
      </c>
      <c r="AY206" s="41" t="s">
        <v>473</v>
      </c>
      <c r="AZ206" s="41" t="s">
        <v>474</v>
      </c>
      <c r="BA206" s="13" t="s">
        <v>62</v>
      </c>
      <c r="BC206" s="38">
        <f>AW206+AX206</f>
        <v>0</v>
      </c>
      <c r="BD206" s="38">
        <f>H206/(100-BE206)*100</f>
        <v>0</v>
      </c>
      <c r="BE206" s="38">
        <v>0</v>
      </c>
      <c r="BF206" s="38">
        <f>O206</f>
        <v>0.1</v>
      </c>
      <c r="BH206" s="38">
        <f>G206*AO206</f>
        <v>0</v>
      </c>
      <c r="BI206" s="38">
        <f>G206*AP206</f>
        <v>0</v>
      </c>
      <c r="BJ206" s="38">
        <f>G206*H206</f>
        <v>0</v>
      </c>
      <c r="BK206" s="38"/>
      <c r="BL206" s="38">
        <v>766</v>
      </c>
      <c r="BW206" s="38">
        <f>I206</f>
        <v>21</v>
      </c>
      <c r="BX206" s="5" t="s">
        <v>505</v>
      </c>
    </row>
    <row r="207" spans="1:76" x14ac:dyDescent="0.25">
      <c r="A207" s="42"/>
      <c r="C207" s="43" t="s">
        <v>67</v>
      </c>
      <c r="D207" s="179" t="s">
        <v>506</v>
      </c>
      <c r="E207" s="180"/>
      <c r="F207" s="180"/>
      <c r="G207" s="180"/>
      <c r="H207" s="180"/>
      <c r="I207" s="180"/>
      <c r="J207" s="180"/>
      <c r="K207" s="180"/>
      <c r="L207" s="180"/>
      <c r="M207" s="180"/>
      <c r="N207" s="180"/>
      <c r="O207" s="180"/>
      <c r="P207" s="181"/>
      <c r="BX207" s="44" t="s">
        <v>506</v>
      </c>
    </row>
    <row r="208" spans="1:76" x14ac:dyDescent="0.25">
      <c r="A208" s="2" t="s">
        <v>507</v>
      </c>
      <c r="B208" s="3" t="s">
        <v>51</v>
      </c>
      <c r="C208" s="3" t="s">
        <v>508</v>
      </c>
      <c r="D208" s="113" t="s">
        <v>509</v>
      </c>
      <c r="E208" s="110"/>
      <c r="F208" s="3" t="s">
        <v>66</v>
      </c>
      <c r="G208" s="38">
        <v>2</v>
      </c>
      <c r="H208" s="103"/>
      <c r="I208" s="39">
        <v>21</v>
      </c>
      <c r="J208" s="38">
        <f>ROUND(G208*AO208,2)</f>
        <v>0</v>
      </c>
      <c r="K208" s="38">
        <f>ROUND(G208*AP208,2)</f>
        <v>0</v>
      </c>
      <c r="L208" s="38">
        <f>ROUND(G208*H208,2)</f>
        <v>0</v>
      </c>
      <c r="M208" s="38">
        <f>L208*(1+BW208/100)</f>
        <v>0</v>
      </c>
      <c r="N208" s="38">
        <v>1.6E-2</v>
      </c>
      <c r="O208" s="38">
        <f>G208*N208</f>
        <v>3.2000000000000001E-2</v>
      </c>
      <c r="P208" s="40" t="s">
        <v>59</v>
      </c>
      <c r="Z208" s="38">
        <f>ROUND(IF(AQ208="5",BJ208,0),2)</f>
        <v>0</v>
      </c>
      <c r="AB208" s="38">
        <f>ROUND(IF(AQ208="1",BH208,0),2)</f>
        <v>0</v>
      </c>
      <c r="AC208" s="38">
        <f>ROUND(IF(AQ208="1",BI208,0),2)</f>
        <v>0</v>
      </c>
      <c r="AD208" s="38">
        <f>ROUND(IF(AQ208="7",BH208,0),2)</f>
        <v>0</v>
      </c>
      <c r="AE208" s="38">
        <f>ROUND(IF(AQ208="7",BI208,0),2)</f>
        <v>0</v>
      </c>
      <c r="AF208" s="38">
        <f>ROUND(IF(AQ208="2",BH208,0),2)</f>
        <v>0</v>
      </c>
      <c r="AG208" s="38">
        <f>ROUND(IF(AQ208="2",BI208,0),2)</f>
        <v>0</v>
      </c>
      <c r="AH208" s="38">
        <f>ROUND(IF(AQ208="0",BJ208,0),2)</f>
        <v>0</v>
      </c>
      <c r="AI208" s="13" t="s">
        <v>51</v>
      </c>
      <c r="AJ208" s="38">
        <f>IF(AN208=0,L208,0)</f>
        <v>0</v>
      </c>
      <c r="AK208" s="38">
        <f>IF(AN208=12,L208,0)</f>
        <v>0</v>
      </c>
      <c r="AL208" s="38">
        <f>IF(AN208=21,L208,0)</f>
        <v>0</v>
      </c>
      <c r="AN208" s="38">
        <v>21</v>
      </c>
      <c r="AO208" s="38">
        <f>H208*1</f>
        <v>0</v>
      </c>
      <c r="AP208" s="38">
        <f>H208*(1-1)</f>
        <v>0</v>
      </c>
      <c r="AQ208" s="41" t="s">
        <v>84</v>
      </c>
      <c r="AV208" s="38">
        <f>ROUND(AW208+AX208,2)</f>
        <v>0</v>
      </c>
      <c r="AW208" s="38">
        <f>ROUND(G208*AO208,2)</f>
        <v>0</v>
      </c>
      <c r="AX208" s="38">
        <f>ROUND(G208*AP208,2)</f>
        <v>0</v>
      </c>
      <c r="AY208" s="41" t="s">
        <v>473</v>
      </c>
      <c r="AZ208" s="41" t="s">
        <v>474</v>
      </c>
      <c r="BA208" s="13" t="s">
        <v>62</v>
      </c>
      <c r="BC208" s="38">
        <f>AW208+AX208</f>
        <v>0</v>
      </c>
      <c r="BD208" s="38">
        <f>H208/(100-BE208)*100</f>
        <v>0</v>
      </c>
      <c r="BE208" s="38">
        <v>0</v>
      </c>
      <c r="BF208" s="38">
        <f>O208</f>
        <v>3.2000000000000001E-2</v>
      </c>
      <c r="BH208" s="38">
        <f>G208*AO208</f>
        <v>0</v>
      </c>
      <c r="BI208" s="38">
        <f>G208*AP208</f>
        <v>0</v>
      </c>
      <c r="BJ208" s="38">
        <f>G208*H208</f>
        <v>0</v>
      </c>
      <c r="BK208" s="38"/>
      <c r="BL208" s="38">
        <v>766</v>
      </c>
      <c r="BW208" s="38">
        <f>I208</f>
        <v>21</v>
      </c>
      <c r="BX208" s="5" t="s">
        <v>509</v>
      </c>
    </row>
    <row r="209" spans="1:76" x14ac:dyDescent="0.25">
      <c r="A209" s="42"/>
      <c r="C209" s="43" t="s">
        <v>67</v>
      </c>
      <c r="D209" s="179" t="s">
        <v>510</v>
      </c>
      <c r="E209" s="180"/>
      <c r="F209" s="180"/>
      <c r="G209" s="180"/>
      <c r="H209" s="180"/>
      <c r="I209" s="180"/>
      <c r="J209" s="180"/>
      <c r="K209" s="180"/>
      <c r="L209" s="180"/>
      <c r="M209" s="180"/>
      <c r="N209" s="180"/>
      <c r="O209" s="180"/>
      <c r="P209" s="181"/>
      <c r="BX209" s="44" t="s">
        <v>510</v>
      </c>
    </row>
    <row r="210" spans="1:76" x14ac:dyDescent="0.25">
      <c r="A210" s="2" t="s">
        <v>511</v>
      </c>
      <c r="B210" s="3" t="s">
        <v>51</v>
      </c>
      <c r="C210" s="3" t="s">
        <v>512</v>
      </c>
      <c r="D210" s="113" t="s">
        <v>513</v>
      </c>
      <c r="E210" s="110"/>
      <c r="F210" s="3" t="s">
        <v>66</v>
      </c>
      <c r="G210" s="38">
        <v>1</v>
      </c>
      <c r="H210" s="103"/>
      <c r="I210" s="39">
        <v>21</v>
      </c>
      <c r="J210" s="38">
        <f>ROUND(G210*AO210,2)</f>
        <v>0</v>
      </c>
      <c r="K210" s="38">
        <f>ROUND(G210*AP210,2)</f>
        <v>0</v>
      </c>
      <c r="L210" s="38">
        <f>ROUND(G210*H210,2)</f>
        <v>0</v>
      </c>
      <c r="M210" s="38">
        <f>L210*(1+BW210/100)</f>
        <v>0</v>
      </c>
      <c r="N210" s="38">
        <v>0</v>
      </c>
      <c r="O210" s="38">
        <f>G210*N210</f>
        <v>0</v>
      </c>
      <c r="P210" s="40" t="s">
        <v>59</v>
      </c>
      <c r="Z210" s="38">
        <f>ROUND(IF(AQ210="5",BJ210,0),2)</f>
        <v>0</v>
      </c>
      <c r="AB210" s="38">
        <f>ROUND(IF(AQ210="1",BH210,0),2)</f>
        <v>0</v>
      </c>
      <c r="AC210" s="38">
        <f>ROUND(IF(AQ210="1",BI210,0),2)</f>
        <v>0</v>
      </c>
      <c r="AD210" s="38">
        <f>ROUND(IF(AQ210="7",BH210,0),2)</f>
        <v>0</v>
      </c>
      <c r="AE210" s="38">
        <f>ROUND(IF(AQ210="7",BI210,0),2)</f>
        <v>0</v>
      </c>
      <c r="AF210" s="38">
        <f>ROUND(IF(AQ210="2",BH210,0),2)</f>
        <v>0</v>
      </c>
      <c r="AG210" s="38">
        <f>ROUND(IF(AQ210="2",BI210,0),2)</f>
        <v>0</v>
      </c>
      <c r="AH210" s="38">
        <f>ROUND(IF(AQ210="0",BJ210,0),2)</f>
        <v>0</v>
      </c>
      <c r="AI210" s="13" t="s">
        <v>51</v>
      </c>
      <c r="AJ210" s="38">
        <f>IF(AN210=0,L210,0)</f>
        <v>0</v>
      </c>
      <c r="AK210" s="38">
        <f>IF(AN210=12,L210,0)</f>
        <v>0</v>
      </c>
      <c r="AL210" s="38">
        <f>IF(AN210=21,L210,0)</f>
        <v>0</v>
      </c>
      <c r="AN210" s="38">
        <v>21</v>
      </c>
      <c r="AO210" s="38">
        <f>H210*0</f>
        <v>0</v>
      </c>
      <c r="AP210" s="38">
        <f>H210*(1-0)</f>
        <v>0</v>
      </c>
      <c r="AQ210" s="41" t="s">
        <v>84</v>
      </c>
      <c r="AV210" s="38">
        <f>ROUND(AW210+AX210,2)</f>
        <v>0</v>
      </c>
      <c r="AW210" s="38">
        <f>ROUND(G210*AO210,2)</f>
        <v>0</v>
      </c>
      <c r="AX210" s="38">
        <f>ROUND(G210*AP210,2)</f>
        <v>0</v>
      </c>
      <c r="AY210" s="41" t="s">
        <v>473</v>
      </c>
      <c r="AZ210" s="41" t="s">
        <v>474</v>
      </c>
      <c r="BA210" s="13" t="s">
        <v>62</v>
      </c>
      <c r="BC210" s="38">
        <f>AW210+AX210</f>
        <v>0</v>
      </c>
      <c r="BD210" s="38">
        <f>H210/(100-BE210)*100</f>
        <v>0</v>
      </c>
      <c r="BE210" s="38">
        <v>0</v>
      </c>
      <c r="BF210" s="38">
        <f>O210</f>
        <v>0</v>
      </c>
      <c r="BH210" s="38">
        <f>G210*AO210</f>
        <v>0</v>
      </c>
      <c r="BI210" s="38">
        <f>G210*AP210</f>
        <v>0</v>
      </c>
      <c r="BJ210" s="38">
        <f>G210*H210</f>
        <v>0</v>
      </c>
      <c r="BK210" s="38"/>
      <c r="BL210" s="38">
        <v>766</v>
      </c>
      <c r="BW210" s="38">
        <f>I210</f>
        <v>21</v>
      </c>
      <c r="BX210" s="5" t="s">
        <v>513</v>
      </c>
    </row>
    <row r="211" spans="1:76" x14ac:dyDescent="0.25">
      <c r="A211" s="42"/>
      <c r="C211" s="43" t="s">
        <v>67</v>
      </c>
      <c r="D211" s="179" t="s">
        <v>514</v>
      </c>
      <c r="E211" s="180"/>
      <c r="F211" s="180"/>
      <c r="G211" s="180"/>
      <c r="H211" s="180"/>
      <c r="I211" s="180"/>
      <c r="J211" s="180"/>
      <c r="K211" s="180"/>
      <c r="L211" s="180"/>
      <c r="M211" s="180"/>
      <c r="N211" s="180"/>
      <c r="O211" s="180"/>
      <c r="P211" s="181"/>
      <c r="BX211" s="44" t="s">
        <v>514</v>
      </c>
    </row>
    <row r="212" spans="1:76" x14ac:dyDescent="0.25">
      <c r="A212" s="2" t="s">
        <v>515</v>
      </c>
      <c r="B212" s="3" t="s">
        <v>51</v>
      </c>
      <c r="C212" s="3" t="s">
        <v>516</v>
      </c>
      <c r="D212" s="113" t="s">
        <v>517</v>
      </c>
      <c r="E212" s="110"/>
      <c r="F212" s="3" t="s">
        <v>66</v>
      </c>
      <c r="G212" s="38">
        <v>1</v>
      </c>
      <c r="H212" s="103"/>
      <c r="I212" s="39">
        <v>21</v>
      </c>
      <c r="J212" s="38">
        <f>ROUND(G212*AO212,2)</f>
        <v>0</v>
      </c>
      <c r="K212" s="38">
        <f>ROUND(G212*AP212,2)</f>
        <v>0</v>
      </c>
      <c r="L212" s="38">
        <f>ROUND(G212*H212,2)</f>
        <v>0</v>
      </c>
      <c r="M212" s="38">
        <f>L212*(1+BW212/100)</f>
        <v>0</v>
      </c>
      <c r="N212" s="38">
        <v>4.3999999999999997E-2</v>
      </c>
      <c r="O212" s="38">
        <f>G212*N212</f>
        <v>4.3999999999999997E-2</v>
      </c>
      <c r="P212" s="40" t="s">
        <v>114</v>
      </c>
      <c r="Z212" s="38">
        <f>ROUND(IF(AQ212="5",BJ212,0),2)</f>
        <v>0</v>
      </c>
      <c r="AB212" s="38">
        <f>ROUND(IF(AQ212="1",BH212,0),2)</f>
        <v>0</v>
      </c>
      <c r="AC212" s="38">
        <f>ROUND(IF(AQ212="1",BI212,0),2)</f>
        <v>0</v>
      </c>
      <c r="AD212" s="38">
        <f>ROUND(IF(AQ212="7",BH212,0),2)</f>
        <v>0</v>
      </c>
      <c r="AE212" s="38">
        <f>ROUND(IF(AQ212="7",BI212,0),2)</f>
        <v>0</v>
      </c>
      <c r="AF212" s="38">
        <f>ROUND(IF(AQ212="2",BH212,0),2)</f>
        <v>0</v>
      </c>
      <c r="AG212" s="38">
        <f>ROUND(IF(AQ212="2",BI212,0),2)</f>
        <v>0</v>
      </c>
      <c r="AH212" s="38">
        <f>ROUND(IF(AQ212="0",BJ212,0),2)</f>
        <v>0</v>
      </c>
      <c r="AI212" s="13" t="s">
        <v>51</v>
      </c>
      <c r="AJ212" s="38">
        <f>IF(AN212=0,L212,0)</f>
        <v>0</v>
      </c>
      <c r="AK212" s="38">
        <f>IF(AN212=12,L212,0)</f>
        <v>0</v>
      </c>
      <c r="AL212" s="38">
        <f>IF(AN212=21,L212,0)</f>
        <v>0</v>
      </c>
      <c r="AN212" s="38">
        <v>21</v>
      </c>
      <c r="AO212" s="38">
        <f>H212*1</f>
        <v>0</v>
      </c>
      <c r="AP212" s="38">
        <f>H212*(1-1)</f>
        <v>0</v>
      </c>
      <c r="AQ212" s="41" t="s">
        <v>84</v>
      </c>
      <c r="AV212" s="38">
        <f>ROUND(AW212+AX212,2)</f>
        <v>0</v>
      </c>
      <c r="AW212" s="38">
        <f>ROUND(G212*AO212,2)</f>
        <v>0</v>
      </c>
      <c r="AX212" s="38">
        <f>ROUND(G212*AP212,2)</f>
        <v>0</v>
      </c>
      <c r="AY212" s="41" t="s">
        <v>473</v>
      </c>
      <c r="AZ212" s="41" t="s">
        <v>474</v>
      </c>
      <c r="BA212" s="13" t="s">
        <v>62</v>
      </c>
      <c r="BC212" s="38">
        <f>AW212+AX212</f>
        <v>0</v>
      </c>
      <c r="BD212" s="38">
        <f>H212/(100-BE212)*100</f>
        <v>0</v>
      </c>
      <c r="BE212" s="38">
        <v>0</v>
      </c>
      <c r="BF212" s="38">
        <f>O212</f>
        <v>4.3999999999999997E-2</v>
      </c>
      <c r="BH212" s="38">
        <f>G212*AO212</f>
        <v>0</v>
      </c>
      <c r="BI212" s="38">
        <f>G212*AP212</f>
        <v>0</v>
      </c>
      <c r="BJ212" s="38">
        <f>G212*H212</f>
        <v>0</v>
      </c>
      <c r="BK212" s="38"/>
      <c r="BL212" s="38">
        <v>766</v>
      </c>
      <c r="BW212" s="38">
        <f>I212</f>
        <v>21</v>
      </c>
      <c r="BX212" s="5" t="s">
        <v>517</v>
      </c>
    </row>
    <row r="213" spans="1:76" x14ac:dyDescent="0.25">
      <c r="A213" s="42"/>
      <c r="C213" s="43" t="s">
        <v>67</v>
      </c>
      <c r="D213" s="179" t="s">
        <v>518</v>
      </c>
      <c r="E213" s="180"/>
      <c r="F213" s="180"/>
      <c r="G213" s="180"/>
      <c r="H213" s="180"/>
      <c r="I213" s="180"/>
      <c r="J213" s="180"/>
      <c r="K213" s="180"/>
      <c r="L213" s="180"/>
      <c r="M213" s="180"/>
      <c r="N213" s="180"/>
      <c r="O213" s="180"/>
      <c r="P213" s="181"/>
      <c r="BX213" s="44" t="s">
        <v>518</v>
      </c>
    </row>
    <row r="214" spans="1:76" x14ac:dyDescent="0.25">
      <c r="A214" s="2" t="s">
        <v>519</v>
      </c>
      <c r="B214" s="3" t="s">
        <v>51</v>
      </c>
      <c r="C214" s="3" t="s">
        <v>520</v>
      </c>
      <c r="D214" s="113" t="s">
        <v>521</v>
      </c>
      <c r="E214" s="110"/>
      <c r="F214" s="3" t="s">
        <v>66</v>
      </c>
      <c r="G214" s="38">
        <v>5</v>
      </c>
      <c r="H214" s="103"/>
      <c r="I214" s="39">
        <v>21</v>
      </c>
      <c r="J214" s="38">
        <f>ROUND(G214*AO214,2)</f>
        <v>0</v>
      </c>
      <c r="K214" s="38">
        <f>ROUND(G214*AP214,2)</f>
        <v>0</v>
      </c>
      <c r="L214" s="38">
        <f>ROUND(G214*H214,2)</f>
        <v>0</v>
      </c>
      <c r="M214" s="38">
        <f>L214*(1+BW214/100)</f>
        <v>0</v>
      </c>
      <c r="N214" s="38">
        <v>1.0000000000000001E-5</v>
      </c>
      <c r="O214" s="38">
        <f>G214*N214</f>
        <v>5.0000000000000002E-5</v>
      </c>
      <c r="P214" s="40" t="s">
        <v>59</v>
      </c>
      <c r="Z214" s="38">
        <f>ROUND(IF(AQ214="5",BJ214,0),2)</f>
        <v>0</v>
      </c>
      <c r="AB214" s="38">
        <f>ROUND(IF(AQ214="1",BH214,0),2)</f>
        <v>0</v>
      </c>
      <c r="AC214" s="38">
        <f>ROUND(IF(AQ214="1",BI214,0),2)</f>
        <v>0</v>
      </c>
      <c r="AD214" s="38">
        <f>ROUND(IF(AQ214="7",BH214,0),2)</f>
        <v>0</v>
      </c>
      <c r="AE214" s="38">
        <f>ROUND(IF(AQ214="7",BI214,0),2)</f>
        <v>0</v>
      </c>
      <c r="AF214" s="38">
        <f>ROUND(IF(AQ214="2",BH214,0),2)</f>
        <v>0</v>
      </c>
      <c r="AG214" s="38">
        <f>ROUND(IF(AQ214="2",BI214,0),2)</f>
        <v>0</v>
      </c>
      <c r="AH214" s="38">
        <f>ROUND(IF(AQ214="0",BJ214,0),2)</f>
        <v>0</v>
      </c>
      <c r="AI214" s="13" t="s">
        <v>51</v>
      </c>
      <c r="AJ214" s="38">
        <f>IF(AN214=0,L214,0)</f>
        <v>0</v>
      </c>
      <c r="AK214" s="38">
        <f>IF(AN214=12,L214,0)</f>
        <v>0</v>
      </c>
      <c r="AL214" s="38">
        <f>IF(AN214=21,L214,0)</f>
        <v>0</v>
      </c>
      <c r="AN214" s="38">
        <v>21</v>
      </c>
      <c r="AO214" s="38">
        <f>H214*0.030858703</f>
        <v>0</v>
      </c>
      <c r="AP214" s="38">
        <f>H214*(1-0.030858703)</f>
        <v>0</v>
      </c>
      <c r="AQ214" s="41" t="s">
        <v>84</v>
      </c>
      <c r="AV214" s="38">
        <f>ROUND(AW214+AX214,2)</f>
        <v>0</v>
      </c>
      <c r="AW214" s="38">
        <f>ROUND(G214*AO214,2)</f>
        <v>0</v>
      </c>
      <c r="AX214" s="38">
        <f>ROUND(G214*AP214,2)</f>
        <v>0</v>
      </c>
      <c r="AY214" s="41" t="s">
        <v>473</v>
      </c>
      <c r="AZ214" s="41" t="s">
        <v>474</v>
      </c>
      <c r="BA214" s="13" t="s">
        <v>62</v>
      </c>
      <c r="BC214" s="38">
        <f>AW214+AX214</f>
        <v>0</v>
      </c>
      <c r="BD214" s="38">
        <f>H214/(100-BE214)*100</f>
        <v>0</v>
      </c>
      <c r="BE214" s="38">
        <v>0</v>
      </c>
      <c r="BF214" s="38">
        <f>O214</f>
        <v>5.0000000000000002E-5</v>
      </c>
      <c r="BH214" s="38">
        <f>G214*AO214</f>
        <v>0</v>
      </c>
      <c r="BI214" s="38">
        <f>G214*AP214</f>
        <v>0</v>
      </c>
      <c r="BJ214" s="38">
        <f>G214*H214</f>
        <v>0</v>
      </c>
      <c r="BK214" s="38"/>
      <c r="BL214" s="38">
        <v>766</v>
      </c>
      <c r="BW214" s="38">
        <f>I214</f>
        <v>21</v>
      </c>
      <c r="BX214" s="5" t="s">
        <v>521</v>
      </c>
    </row>
    <row r="215" spans="1:76" x14ac:dyDescent="0.25">
      <c r="A215" s="2" t="s">
        <v>522</v>
      </c>
      <c r="B215" s="3" t="s">
        <v>51</v>
      </c>
      <c r="C215" s="3" t="s">
        <v>523</v>
      </c>
      <c r="D215" s="113" t="s">
        <v>524</v>
      </c>
      <c r="E215" s="110"/>
      <c r="F215" s="3" t="s">
        <v>66</v>
      </c>
      <c r="G215" s="38">
        <v>2</v>
      </c>
      <c r="H215" s="103"/>
      <c r="I215" s="39">
        <v>21</v>
      </c>
      <c r="J215" s="38">
        <f>ROUND(G215*AO215,2)</f>
        <v>0</v>
      </c>
      <c r="K215" s="38">
        <f>ROUND(G215*AP215,2)</f>
        <v>0</v>
      </c>
      <c r="L215" s="38">
        <f>ROUND(G215*H215,2)</f>
        <v>0</v>
      </c>
      <c r="M215" s="38">
        <f>L215*(1+BW215/100)</f>
        <v>0</v>
      </c>
      <c r="N215" s="38">
        <v>8.9999999999999998E-4</v>
      </c>
      <c r="O215" s="38">
        <f>G215*N215</f>
        <v>1.8E-3</v>
      </c>
      <c r="P215" s="40" t="s">
        <v>525</v>
      </c>
      <c r="Z215" s="38">
        <f>ROUND(IF(AQ215="5",BJ215,0),2)</f>
        <v>0</v>
      </c>
      <c r="AB215" s="38">
        <f>ROUND(IF(AQ215="1",BH215,0),2)</f>
        <v>0</v>
      </c>
      <c r="AC215" s="38">
        <f>ROUND(IF(AQ215="1",BI215,0),2)</f>
        <v>0</v>
      </c>
      <c r="AD215" s="38">
        <f>ROUND(IF(AQ215="7",BH215,0),2)</f>
        <v>0</v>
      </c>
      <c r="AE215" s="38">
        <f>ROUND(IF(AQ215="7",BI215,0),2)</f>
        <v>0</v>
      </c>
      <c r="AF215" s="38">
        <f>ROUND(IF(AQ215="2",BH215,0),2)</f>
        <v>0</v>
      </c>
      <c r="AG215" s="38">
        <f>ROUND(IF(AQ215="2",BI215,0),2)</f>
        <v>0</v>
      </c>
      <c r="AH215" s="38">
        <f>ROUND(IF(AQ215="0",BJ215,0),2)</f>
        <v>0</v>
      </c>
      <c r="AI215" s="13" t="s">
        <v>51</v>
      </c>
      <c r="AJ215" s="38">
        <f>IF(AN215=0,L215,0)</f>
        <v>0</v>
      </c>
      <c r="AK215" s="38">
        <f>IF(AN215=12,L215,0)</f>
        <v>0</v>
      </c>
      <c r="AL215" s="38">
        <f>IF(AN215=21,L215,0)</f>
        <v>0</v>
      </c>
      <c r="AN215" s="38">
        <v>21</v>
      </c>
      <c r="AO215" s="38">
        <f>H215*1</f>
        <v>0</v>
      </c>
      <c r="AP215" s="38">
        <f>H215*(1-1)</f>
        <v>0</v>
      </c>
      <c r="AQ215" s="41" t="s">
        <v>84</v>
      </c>
      <c r="AV215" s="38">
        <f>ROUND(AW215+AX215,2)</f>
        <v>0</v>
      </c>
      <c r="AW215" s="38">
        <f>ROUND(G215*AO215,2)</f>
        <v>0</v>
      </c>
      <c r="AX215" s="38">
        <f>ROUND(G215*AP215,2)</f>
        <v>0</v>
      </c>
      <c r="AY215" s="41" t="s">
        <v>473</v>
      </c>
      <c r="AZ215" s="41" t="s">
        <v>474</v>
      </c>
      <c r="BA215" s="13" t="s">
        <v>62</v>
      </c>
      <c r="BC215" s="38">
        <f>AW215+AX215</f>
        <v>0</v>
      </c>
      <c r="BD215" s="38">
        <f>H215/(100-BE215)*100</f>
        <v>0</v>
      </c>
      <c r="BE215" s="38">
        <v>0</v>
      </c>
      <c r="BF215" s="38">
        <f>O215</f>
        <v>1.8E-3</v>
      </c>
      <c r="BH215" s="38">
        <f>G215*AO215</f>
        <v>0</v>
      </c>
      <c r="BI215" s="38">
        <f>G215*AP215</f>
        <v>0</v>
      </c>
      <c r="BJ215" s="38">
        <f>G215*H215</f>
        <v>0</v>
      </c>
      <c r="BK215" s="38"/>
      <c r="BL215" s="38">
        <v>766</v>
      </c>
      <c r="BW215" s="38">
        <f>I215</f>
        <v>21</v>
      </c>
      <c r="BX215" s="5" t="s">
        <v>524</v>
      </c>
    </row>
    <row r="216" spans="1:76" x14ac:dyDescent="0.25">
      <c r="A216" s="2" t="s">
        <v>526</v>
      </c>
      <c r="B216" s="3" t="s">
        <v>51</v>
      </c>
      <c r="C216" s="3" t="s">
        <v>527</v>
      </c>
      <c r="D216" s="113" t="s">
        <v>528</v>
      </c>
      <c r="E216" s="110"/>
      <c r="F216" s="3" t="s">
        <v>66</v>
      </c>
      <c r="G216" s="38">
        <v>3</v>
      </c>
      <c r="H216" s="103"/>
      <c r="I216" s="39">
        <v>21</v>
      </c>
      <c r="J216" s="38">
        <f>ROUND(G216*AO216,2)</f>
        <v>0</v>
      </c>
      <c r="K216" s="38">
        <f>ROUND(G216*AP216,2)</f>
        <v>0</v>
      </c>
      <c r="L216" s="38">
        <f>ROUND(G216*H216,2)</f>
        <v>0</v>
      </c>
      <c r="M216" s="38">
        <f>L216*(1+BW216/100)</f>
        <v>0</v>
      </c>
      <c r="N216" s="38">
        <v>1.8E-3</v>
      </c>
      <c r="O216" s="38">
        <f>G216*N216</f>
        <v>5.4000000000000003E-3</v>
      </c>
      <c r="P216" s="40" t="s">
        <v>525</v>
      </c>
      <c r="Z216" s="38">
        <f>ROUND(IF(AQ216="5",BJ216,0),2)</f>
        <v>0</v>
      </c>
      <c r="AB216" s="38">
        <f>ROUND(IF(AQ216="1",BH216,0),2)</f>
        <v>0</v>
      </c>
      <c r="AC216" s="38">
        <f>ROUND(IF(AQ216="1",BI216,0),2)</f>
        <v>0</v>
      </c>
      <c r="AD216" s="38">
        <f>ROUND(IF(AQ216="7",BH216,0),2)</f>
        <v>0</v>
      </c>
      <c r="AE216" s="38">
        <f>ROUND(IF(AQ216="7",BI216,0),2)</f>
        <v>0</v>
      </c>
      <c r="AF216" s="38">
        <f>ROUND(IF(AQ216="2",BH216,0),2)</f>
        <v>0</v>
      </c>
      <c r="AG216" s="38">
        <f>ROUND(IF(AQ216="2",BI216,0),2)</f>
        <v>0</v>
      </c>
      <c r="AH216" s="38">
        <f>ROUND(IF(AQ216="0",BJ216,0),2)</f>
        <v>0</v>
      </c>
      <c r="AI216" s="13" t="s">
        <v>51</v>
      </c>
      <c r="AJ216" s="38">
        <f>IF(AN216=0,L216,0)</f>
        <v>0</v>
      </c>
      <c r="AK216" s="38">
        <f>IF(AN216=12,L216,0)</f>
        <v>0</v>
      </c>
      <c r="AL216" s="38">
        <f>IF(AN216=21,L216,0)</f>
        <v>0</v>
      </c>
      <c r="AN216" s="38">
        <v>21</v>
      </c>
      <c r="AO216" s="38">
        <f>H216*1</f>
        <v>0</v>
      </c>
      <c r="AP216" s="38">
        <f>H216*(1-1)</f>
        <v>0</v>
      </c>
      <c r="AQ216" s="41" t="s">
        <v>84</v>
      </c>
      <c r="AV216" s="38">
        <f>ROUND(AW216+AX216,2)</f>
        <v>0</v>
      </c>
      <c r="AW216" s="38">
        <f>ROUND(G216*AO216,2)</f>
        <v>0</v>
      </c>
      <c r="AX216" s="38">
        <f>ROUND(G216*AP216,2)</f>
        <v>0</v>
      </c>
      <c r="AY216" s="41" t="s">
        <v>473</v>
      </c>
      <c r="AZ216" s="41" t="s">
        <v>474</v>
      </c>
      <c r="BA216" s="13" t="s">
        <v>62</v>
      </c>
      <c r="BC216" s="38">
        <f>AW216+AX216</f>
        <v>0</v>
      </c>
      <c r="BD216" s="38">
        <f>H216/(100-BE216)*100</f>
        <v>0</v>
      </c>
      <c r="BE216" s="38">
        <v>0</v>
      </c>
      <c r="BF216" s="38">
        <f>O216</f>
        <v>5.4000000000000003E-3</v>
      </c>
      <c r="BH216" s="38">
        <f>G216*AO216</f>
        <v>0</v>
      </c>
      <c r="BI216" s="38">
        <f>G216*AP216</f>
        <v>0</v>
      </c>
      <c r="BJ216" s="38">
        <f>G216*H216</f>
        <v>0</v>
      </c>
      <c r="BK216" s="38"/>
      <c r="BL216" s="38">
        <v>766</v>
      </c>
      <c r="BW216" s="38">
        <f>I216</f>
        <v>21</v>
      </c>
      <c r="BX216" s="5" t="s">
        <v>528</v>
      </c>
    </row>
    <row r="217" spans="1:76" x14ac:dyDescent="0.25">
      <c r="A217" s="2" t="s">
        <v>529</v>
      </c>
      <c r="B217" s="3" t="s">
        <v>51</v>
      </c>
      <c r="C217" s="3" t="s">
        <v>530</v>
      </c>
      <c r="D217" s="113" t="s">
        <v>531</v>
      </c>
      <c r="E217" s="110"/>
      <c r="F217" s="3" t="s">
        <v>134</v>
      </c>
      <c r="G217" s="38">
        <v>0.36060999999999999</v>
      </c>
      <c r="H217" s="103"/>
      <c r="I217" s="39">
        <v>21</v>
      </c>
      <c r="J217" s="38">
        <f>ROUND(G217*AO217,2)</f>
        <v>0</v>
      </c>
      <c r="K217" s="38">
        <f>ROUND(G217*AP217,2)</f>
        <v>0</v>
      </c>
      <c r="L217" s="38">
        <f>ROUND(G217*H217,2)</f>
        <v>0</v>
      </c>
      <c r="M217" s="38">
        <f>L217*(1+BW217/100)</f>
        <v>0</v>
      </c>
      <c r="N217" s="38">
        <v>0</v>
      </c>
      <c r="O217" s="38">
        <f>G217*N217</f>
        <v>0</v>
      </c>
      <c r="P217" s="40" t="s">
        <v>59</v>
      </c>
      <c r="Z217" s="38">
        <f>ROUND(IF(AQ217="5",BJ217,0),2)</f>
        <v>0</v>
      </c>
      <c r="AB217" s="38">
        <f>ROUND(IF(AQ217="1",BH217,0),2)</f>
        <v>0</v>
      </c>
      <c r="AC217" s="38">
        <f>ROUND(IF(AQ217="1",BI217,0),2)</f>
        <v>0</v>
      </c>
      <c r="AD217" s="38">
        <f>ROUND(IF(AQ217="7",BH217,0),2)</f>
        <v>0</v>
      </c>
      <c r="AE217" s="38">
        <f>ROUND(IF(AQ217="7",BI217,0),2)</f>
        <v>0</v>
      </c>
      <c r="AF217" s="38">
        <f>ROUND(IF(AQ217="2",BH217,0),2)</f>
        <v>0</v>
      </c>
      <c r="AG217" s="38">
        <f>ROUND(IF(AQ217="2",BI217,0),2)</f>
        <v>0</v>
      </c>
      <c r="AH217" s="38">
        <f>ROUND(IF(AQ217="0",BJ217,0),2)</f>
        <v>0</v>
      </c>
      <c r="AI217" s="13" t="s">
        <v>51</v>
      </c>
      <c r="AJ217" s="38">
        <f>IF(AN217=0,L217,0)</f>
        <v>0</v>
      </c>
      <c r="AK217" s="38">
        <f>IF(AN217=12,L217,0)</f>
        <v>0</v>
      </c>
      <c r="AL217" s="38">
        <f>IF(AN217=21,L217,0)</f>
        <v>0</v>
      </c>
      <c r="AN217" s="38">
        <v>21</v>
      </c>
      <c r="AO217" s="38">
        <f>H217*0</f>
        <v>0</v>
      </c>
      <c r="AP217" s="38">
        <f>H217*(1-0)</f>
        <v>0</v>
      </c>
      <c r="AQ217" s="41" t="s">
        <v>77</v>
      </c>
      <c r="AV217" s="38">
        <f>ROUND(AW217+AX217,2)</f>
        <v>0</v>
      </c>
      <c r="AW217" s="38">
        <f>ROUND(G217*AO217,2)</f>
        <v>0</v>
      </c>
      <c r="AX217" s="38">
        <f>ROUND(G217*AP217,2)</f>
        <v>0</v>
      </c>
      <c r="AY217" s="41" t="s">
        <v>473</v>
      </c>
      <c r="AZ217" s="41" t="s">
        <v>474</v>
      </c>
      <c r="BA217" s="13" t="s">
        <v>62</v>
      </c>
      <c r="BC217" s="38">
        <f>AW217+AX217</f>
        <v>0</v>
      </c>
      <c r="BD217" s="38">
        <f>H217/(100-BE217)*100</f>
        <v>0</v>
      </c>
      <c r="BE217" s="38">
        <v>0</v>
      </c>
      <c r="BF217" s="38">
        <f>O217</f>
        <v>0</v>
      </c>
      <c r="BH217" s="38">
        <f>G217*AO217</f>
        <v>0</v>
      </c>
      <c r="BI217" s="38">
        <f>G217*AP217</f>
        <v>0</v>
      </c>
      <c r="BJ217" s="38">
        <f>G217*H217</f>
        <v>0</v>
      </c>
      <c r="BK217" s="38"/>
      <c r="BL217" s="38">
        <v>766</v>
      </c>
      <c r="BW217" s="38">
        <f>I217</f>
        <v>21</v>
      </c>
      <c r="BX217" s="5" t="s">
        <v>531</v>
      </c>
    </row>
    <row r="218" spans="1:76" x14ac:dyDescent="0.25">
      <c r="A218" s="33" t="s">
        <v>50</v>
      </c>
      <c r="B218" s="34" t="s">
        <v>51</v>
      </c>
      <c r="C218" s="34" t="s">
        <v>532</v>
      </c>
      <c r="D218" s="191" t="s">
        <v>533</v>
      </c>
      <c r="E218" s="192"/>
      <c r="F218" s="36" t="s">
        <v>4</v>
      </c>
      <c r="G218" s="36" t="s">
        <v>4</v>
      </c>
      <c r="H218" s="36" t="s">
        <v>4</v>
      </c>
      <c r="I218" s="36" t="s">
        <v>4</v>
      </c>
      <c r="J218" s="1">
        <f>SUM(J219:J223)</f>
        <v>0</v>
      </c>
      <c r="K218" s="1">
        <f>SUM(K219:K223)</f>
        <v>0</v>
      </c>
      <c r="L218" s="1">
        <f>SUM(L219:L223)</f>
        <v>0</v>
      </c>
      <c r="M218" s="1">
        <f>SUM(M219:M223)</f>
        <v>0</v>
      </c>
      <c r="N218" s="13" t="s">
        <v>50</v>
      </c>
      <c r="O218" s="1">
        <f>SUM(O219:O223)</f>
        <v>0.25465369599999998</v>
      </c>
      <c r="P218" s="37" t="s">
        <v>50</v>
      </c>
      <c r="AI218" s="13" t="s">
        <v>51</v>
      </c>
      <c r="AS218" s="1">
        <f>SUM(AJ219:AJ223)</f>
        <v>0</v>
      </c>
      <c r="AT218" s="1">
        <f>SUM(AK219:AK223)</f>
        <v>0</v>
      </c>
      <c r="AU218" s="1">
        <f>SUM(AL219:AL223)</f>
        <v>0</v>
      </c>
    </row>
    <row r="219" spans="1:76" x14ac:dyDescent="0.25">
      <c r="A219" s="2" t="s">
        <v>534</v>
      </c>
      <c r="B219" s="3" t="s">
        <v>51</v>
      </c>
      <c r="C219" s="3" t="s">
        <v>535</v>
      </c>
      <c r="D219" s="113" t="s">
        <v>536</v>
      </c>
      <c r="E219" s="110"/>
      <c r="F219" s="3" t="s">
        <v>58</v>
      </c>
      <c r="G219" s="38">
        <v>11.4825</v>
      </c>
      <c r="H219" s="103"/>
      <c r="I219" s="39">
        <v>21</v>
      </c>
      <c r="J219" s="38">
        <f>ROUND(G219*AO219,2)</f>
        <v>0</v>
      </c>
      <c r="K219" s="38">
        <f>ROUND(G219*AP219,2)</f>
        <v>0</v>
      </c>
      <c r="L219" s="38">
        <f>ROUND(G219*H219,2)</f>
        <v>0</v>
      </c>
      <c r="M219" s="38">
        <f>L219*(1+BW219/100)</f>
        <v>0</v>
      </c>
      <c r="N219" s="38">
        <v>0</v>
      </c>
      <c r="O219" s="38">
        <f>G219*N219</f>
        <v>0</v>
      </c>
      <c r="P219" s="40" t="s">
        <v>59</v>
      </c>
      <c r="Z219" s="38">
        <f>ROUND(IF(AQ219="5",BJ219,0),2)</f>
        <v>0</v>
      </c>
      <c r="AB219" s="38">
        <f>ROUND(IF(AQ219="1",BH219,0),2)</f>
        <v>0</v>
      </c>
      <c r="AC219" s="38">
        <f>ROUND(IF(AQ219="1",BI219,0),2)</f>
        <v>0</v>
      </c>
      <c r="AD219" s="38">
        <f>ROUND(IF(AQ219="7",BH219,0),2)</f>
        <v>0</v>
      </c>
      <c r="AE219" s="38">
        <f>ROUND(IF(AQ219="7",BI219,0),2)</f>
        <v>0</v>
      </c>
      <c r="AF219" s="38">
        <f>ROUND(IF(AQ219="2",BH219,0),2)</f>
        <v>0</v>
      </c>
      <c r="AG219" s="38">
        <f>ROUND(IF(AQ219="2",BI219,0),2)</f>
        <v>0</v>
      </c>
      <c r="AH219" s="38">
        <f>ROUND(IF(AQ219="0",BJ219,0),2)</f>
        <v>0</v>
      </c>
      <c r="AI219" s="13" t="s">
        <v>51</v>
      </c>
      <c r="AJ219" s="38">
        <f>IF(AN219=0,L219,0)</f>
        <v>0</v>
      </c>
      <c r="AK219" s="38">
        <f>IF(AN219=12,L219,0)</f>
        <v>0</v>
      </c>
      <c r="AL219" s="38">
        <f>IF(AN219=21,L219,0)</f>
        <v>0</v>
      </c>
      <c r="AN219" s="38">
        <v>21</v>
      </c>
      <c r="AO219" s="38">
        <f>H219*0</f>
        <v>0</v>
      </c>
      <c r="AP219" s="38">
        <f>H219*(1-0)</f>
        <v>0</v>
      </c>
      <c r="AQ219" s="41" t="s">
        <v>84</v>
      </c>
      <c r="AV219" s="38">
        <f>ROUND(AW219+AX219,2)</f>
        <v>0</v>
      </c>
      <c r="AW219" s="38">
        <f>ROUND(G219*AO219,2)</f>
        <v>0</v>
      </c>
      <c r="AX219" s="38">
        <f>ROUND(G219*AP219,2)</f>
        <v>0</v>
      </c>
      <c r="AY219" s="41" t="s">
        <v>537</v>
      </c>
      <c r="AZ219" s="41" t="s">
        <v>538</v>
      </c>
      <c r="BA219" s="13" t="s">
        <v>62</v>
      </c>
      <c r="BC219" s="38">
        <f>AW219+AX219</f>
        <v>0</v>
      </c>
      <c r="BD219" s="38">
        <f>H219/(100-BE219)*100</f>
        <v>0</v>
      </c>
      <c r="BE219" s="38">
        <v>0</v>
      </c>
      <c r="BF219" s="38">
        <f>O219</f>
        <v>0</v>
      </c>
      <c r="BH219" s="38">
        <f>G219*AO219</f>
        <v>0</v>
      </c>
      <c r="BI219" s="38">
        <f>G219*AP219</f>
        <v>0</v>
      </c>
      <c r="BJ219" s="38">
        <f>G219*H219</f>
        <v>0</v>
      </c>
      <c r="BK219" s="38"/>
      <c r="BL219" s="38">
        <v>771</v>
      </c>
      <c r="BW219" s="38">
        <f>I219</f>
        <v>21</v>
      </c>
      <c r="BX219" s="5" t="s">
        <v>536</v>
      </c>
    </row>
    <row r="220" spans="1:76" ht="76.5" x14ac:dyDescent="0.25">
      <c r="A220" s="42"/>
      <c r="C220" s="43" t="s">
        <v>67</v>
      </c>
      <c r="D220" s="179" t="s">
        <v>539</v>
      </c>
      <c r="E220" s="180"/>
      <c r="F220" s="180"/>
      <c r="G220" s="180"/>
      <c r="H220" s="180"/>
      <c r="I220" s="180"/>
      <c r="J220" s="180"/>
      <c r="K220" s="180"/>
      <c r="L220" s="180"/>
      <c r="M220" s="180"/>
      <c r="N220" s="180"/>
      <c r="O220" s="180"/>
      <c r="P220" s="181"/>
      <c r="BX220" s="44" t="s">
        <v>539</v>
      </c>
    </row>
    <row r="221" spans="1:76" ht="25.5" x14ac:dyDescent="0.25">
      <c r="A221" s="2" t="s">
        <v>540</v>
      </c>
      <c r="B221" s="3" t="s">
        <v>51</v>
      </c>
      <c r="C221" s="3" t="s">
        <v>541</v>
      </c>
      <c r="D221" s="113" t="s">
        <v>542</v>
      </c>
      <c r="E221" s="110"/>
      <c r="F221" s="3" t="s">
        <v>58</v>
      </c>
      <c r="G221" s="38">
        <v>13.204879999999999</v>
      </c>
      <c r="H221" s="103"/>
      <c r="I221" s="39">
        <v>21</v>
      </c>
      <c r="J221" s="38">
        <f>ROUND(G221*AO221,2)</f>
        <v>0</v>
      </c>
      <c r="K221" s="38">
        <f>ROUND(G221*AP221,2)</f>
        <v>0</v>
      </c>
      <c r="L221" s="38">
        <f>ROUND(G221*H221,2)</f>
        <v>0</v>
      </c>
      <c r="M221" s="38">
        <f>L221*(1+BW221/100)</f>
        <v>0</v>
      </c>
      <c r="N221" s="38">
        <v>1.9199999999999998E-2</v>
      </c>
      <c r="O221" s="38">
        <f>G221*N221</f>
        <v>0.25353369599999998</v>
      </c>
      <c r="P221" s="40" t="s">
        <v>114</v>
      </c>
      <c r="Z221" s="38">
        <f>ROUND(IF(AQ221="5",BJ221,0),2)</f>
        <v>0</v>
      </c>
      <c r="AB221" s="38">
        <f>ROUND(IF(AQ221="1",BH221,0),2)</f>
        <v>0</v>
      </c>
      <c r="AC221" s="38">
        <f>ROUND(IF(AQ221="1",BI221,0),2)</f>
        <v>0</v>
      </c>
      <c r="AD221" s="38">
        <f>ROUND(IF(AQ221="7",BH221,0),2)</f>
        <v>0</v>
      </c>
      <c r="AE221" s="38">
        <f>ROUND(IF(AQ221="7",BI221,0),2)</f>
        <v>0</v>
      </c>
      <c r="AF221" s="38">
        <f>ROUND(IF(AQ221="2",BH221,0),2)</f>
        <v>0</v>
      </c>
      <c r="AG221" s="38">
        <f>ROUND(IF(AQ221="2",BI221,0),2)</f>
        <v>0</v>
      </c>
      <c r="AH221" s="38">
        <f>ROUND(IF(AQ221="0",BJ221,0),2)</f>
        <v>0</v>
      </c>
      <c r="AI221" s="13" t="s">
        <v>51</v>
      </c>
      <c r="AJ221" s="38">
        <f>IF(AN221=0,L221,0)</f>
        <v>0</v>
      </c>
      <c r="AK221" s="38">
        <f>IF(AN221=12,L221,0)</f>
        <v>0</v>
      </c>
      <c r="AL221" s="38">
        <f>IF(AN221=21,L221,0)</f>
        <v>0</v>
      </c>
      <c r="AN221" s="38">
        <v>21</v>
      </c>
      <c r="AO221" s="38">
        <f>H221*1</f>
        <v>0</v>
      </c>
      <c r="AP221" s="38">
        <f>H221*(1-1)</f>
        <v>0</v>
      </c>
      <c r="AQ221" s="41" t="s">
        <v>84</v>
      </c>
      <c r="AV221" s="38">
        <f>ROUND(AW221+AX221,2)</f>
        <v>0</v>
      </c>
      <c r="AW221" s="38">
        <f>ROUND(G221*AO221,2)</f>
        <v>0</v>
      </c>
      <c r="AX221" s="38">
        <f>ROUND(G221*AP221,2)</f>
        <v>0</v>
      </c>
      <c r="AY221" s="41" t="s">
        <v>537</v>
      </c>
      <c r="AZ221" s="41" t="s">
        <v>538</v>
      </c>
      <c r="BA221" s="13" t="s">
        <v>62</v>
      </c>
      <c r="BC221" s="38">
        <f>AW221+AX221</f>
        <v>0</v>
      </c>
      <c r="BD221" s="38">
        <f>H221/(100-BE221)*100</f>
        <v>0</v>
      </c>
      <c r="BE221" s="38">
        <v>0</v>
      </c>
      <c r="BF221" s="38">
        <f>O221</f>
        <v>0.25353369599999998</v>
      </c>
      <c r="BH221" s="38">
        <f>G221*AO221</f>
        <v>0</v>
      </c>
      <c r="BI221" s="38">
        <f>G221*AP221</f>
        <v>0</v>
      </c>
      <c r="BJ221" s="38">
        <f>G221*H221</f>
        <v>0</v>
      </c>
      <c r="BK221" s="38"/>
      <c r="BL221" s="38">
        <v>771</v>
      </c>
      <c r="BW221" s="38">
        <f>I221</f>
        <v>21</v>
      </c>
      <c r="BX221" s="5" t="s">
        <v>542</v>
      </c>
    </row>
    <row r="222" spans="1:76" x14ac:dyDescent="0.25">
      <c r="A222" s="2" t="s">
        <v>543</v>
      </c>
      <c r="B222" s="3" t="s">
        <v>51</v>
      </c>
      <c r="C222" s="3" t="s">
        <v>544</v>
      </c>
      <c r="D222" s="113" t="s">
        <v>545</v>
      </c>
      <c r="E222" s="110"/>
      <c r="F222" s="3" t="s">
        <v>100</v>
      </c>
      <c r="G222" s="38">
        <v>28</v>
      </c>
      <c r="H222" s="103"/>
      <c r="I222" s="39">
        <v>21</v>
      </c>
      <c r="J222" s="38">
        <f>ROUND(G222*AO222,2)</f>
        <v>0</v>
      </c>
      <c r="K222" s="38">
        <f>ROUND(G222*AP222,2)</f>
        <v>0</v>
      </c>
      <c r="L222" s="38">
        <f>ROUND(G222*H222,2)</f>
        <v>0</v>
      </c>
      <c r="M222" s="38">
        <f>L222*(1+BW222/100)</f>
        <v>0</v>
      </c>
      <c r="N222" s="38">
        <v>4.0000000000000003E-5</v>
      </c>
      <c r="O222" s="38">
        <f>G222*N222</f>
        <v>1.1200000000000001E-3</v>
      </c>
      <c r="P222" s="40" t="s">
        <v>59</v>
      </c>
      <c r="Z222" s="38">
        <f>ROUND(IF(AQ222="5",BJ222,0),2)</f>
        <v>0</v>
      </c>
      <c r="AB222" s="38">
        <f>ROUND(IF(AQ222="1",BH222,0),2)</f>
        <v>0</v>
      </c>
      <c r="AC222" s="38">
        <f>ROUND(IF(AQ222="1",BI222,0),2)</f>
        <v>0</v>
      </c>
      <c r="AD222" s="38">
        <f>ROUND(IF(AQ222="7",BH222,0),2)</f>
        <v>0</v>
      </c>
      <c r="AE222" s="38">
        <f>ROUND(IF(AQ222="7",BI222,0),2)</f>
        <v>0</v>
      </c>
      <c r="AF222" s="38">
        <f>ROUND(IF(AQ222="2",BH222,0),2)</f>
        <v>0</v>
      </c>
      <c r="AG222" s="38">
        <f>ROUND(IF(AQ222="2",BI222,0),2)</f>
        <v>0</v>
      </c>
      <c r="AH222" s="38">
        <f>ROUND(IF(AQ222="0",BJ222,0),2)</f>
        <v>0</v>
      </c>
      <c r="AI222" s="13" t="s">
        <v>51</v>
      </c>
      <c r="AJ222" s="38">
        <f>IF(AN222=0,L222,0)</f>
        <v>0</v>
      </c>
      <c r="AK222" s="38">
        <f>IF(AN222=12,L222,0)</f>
        <v>0</v>
      </c>
      <c r="AL222" s="38">
        <f>IF(AN222=21,L222,0)</f>
        <v>0</v>
      </c>
      <c r="AN222" s="38">
        <v>21</v>
      </c>
      <c r="AO222" s="38">
        <f>H222*0.470182121</f>
        <v>0</v>
      </c>
      <c r="AP222" s="38">
        <f>H222*(1-0.470182121)</f>
        <v>0</v>
      </c>
      <c r="AQ222" s="41" t="s">
        <v>84</v>
      </c>
      <c r="AV222" s="38">
        <f>ROUND(AW222+AX222,2)</f>
        <v>0</v>
      </c>
      <c r="AW222" s="38">
        <f>ROUND(G222*AO222,2)</f>
        <v>0</v>
      </c>
      <c r="AX222" s="38">
        <f>ROUND(G222*AP222,2)</f>
        <v>0</v>
      </c>
      <c r="AY222" s="41" t="s">
        <v>537</v>
      </c>
      <c r="AZ222" s="41" t="s">
        <v>538</v>
      </c>
      <c r="BA222" s="13" t="s">
        <v>62</v>
      </c>
      <c r="BC222" s="38">
        <f>AW222+AX222</f>
        <v>0</v>
      </c>
      <c r="BD222" s="38">
        <f>H222/(100-BE222)*100</f>
        <v>0</v>
      </c>
      <c r="BE222" s="38">
        <v>0</v>
      </c>
      <c r="BF222" s="38">
        <f>O222</f>
        <v>1.1200000000000001E-3</v>
      </c>
      <c r="BH222" s="38">
        <f>G222*AO222</f>
        <v>0</v>
      </c>
      <c r="BI222" s="38">
        <f>G222*AP222</f>
        <v>0</v>
      </c>
      <c r="BJ222" s="38">
        <f>G222*H222</f>
        <v>0</v>
      </c>
      <c r="BK222" s="38"/>
      <c r="BL222" s="38">
        <v>771</v>
      </c>
      <c r="BW222" s="38">
        <f>I222</f>
        <v>21</v>
      </c>
      <c r="BX222" s="5" t="s">
        <v>545</v>
      </c>
    </row>
    <row r="223" spans="1:76" x14ac:dyDescent="0.25">
      <c r="A223" s="2" t="s">
        <v>546</v>
      </c>
      <c r="B223" s="3" t="s">
        <v>51</v>
      </c>
      <c r="C223" s="3" t="s">
        <v>547</v>
      </c>
      <c r="D223" s="113" t="s">
        <v>548</v>
      </c>
      <c r="E223" s="110"/>
      <c r="F223" s="3" t="s">
        <v>134</v>
      </c>
      <c r="G223" s="38">
        <v>0.25464999999999999</v>
      </c>
      <c r="H223" s="103"/>
      <c r="I223" s="39">
        <v>21</v>
      </c>
      <c r="J223" s="38">
        <f>ROUND(G223*AO223,2)</f>
        <v>0</v>
      </c>
      <c r="K223" s="38">
        <f>ROUND(G223*AP223,2)</f>
        <v>0</v>
      </c>
      <c r="L223" s="38">
        <f>ROUND(G223*H223,2)</f>
        <v>0</v>
      </c>
      <c r="M223" s="38">
        <f>L223*(1+BW223/100)</f>
        <v>0</v>
      </c>
      <c r="N223" s="38">
        <v>0</v>
      </c>
      <c r="O223" s="38">
        <f>G223*N223</f>
        <v>0</v>
      </c>
      <c r="P223" s="40" t="s">
        <v>59</v>
      </c>
      <c r="Z223" s="38">
        <f>ROUND(IF(AQ223="5",BJ223,0),2)</f>
        <v>0</v>
      </c>
      <c r="AB223" s="38">
        <f>ROUND(IF(AQ223="1",BH223,0),2)</f>
        <v>0</v>
      </c>
      <c r="AC223" s="38">
        <f>ROUND(IF(AQ223="1",BI223,0),2)</f>
        <v>0</v>
      </c>
      <c r="AD223" s="38">
        <f>ROUND(IF(AQ223="7",BH223,0),2)</f>
        <v>0</v>
      </c>
      <c r="AE223" s="38">
        <f>ROUND(IF(AQ223="7",BI223,0),2)</f>
        <v>0</v>
      </c>
      <c r="AF223" s="38">
        <f>ROUND(IF(AQ223="2",BH223,0),2)</f>
        <v>0</v>
      </c>
      <c r="AG223" s="38">
        <f>ROUND(IF(AQ223="2",BI223,0),2)</f>
        <v>0</v>
      </c>
      <c r="AH223" s="38">
        <f>ROUND(IF(AQ223="0",BJ223,0),2)</f>
        <v>0</v>
      </c>
      <c r="AI223" s="13" t="s">
        <v>51</v>
      </c>
      <c r="AJ223" s="38">
        <f>IF(AN223=0,L223,0)</f>
        <v>0</v>
      </c>
      <c r="AK223" s="38">
        <f>IF(AN223=12,L223,0)</f>
        <v>0</v>
      </c>
      <c r="AL223" s="38">
        <f>IF(AN223=21,L223,0)</f>
        <v>0</v>
      </c>
      <c r="AN223" s="38">
        <v>21</v>
      </c>
      <c r="AO223" s="38">
        <f>H223*0</f>
        <v>0</v>
      </c>
      <c r="AP223" s="38">
        <f>H223*(1-0)</f>
        <v>0</v>
      </c>
      <c r="AQ223" s="41" t="s">
        <v>77</v>
      </c>
      <c r="AV223" s="38">
        <f>ROUND(AW223+AX223,2)</f>
        <v>0</v>
      </c>
      <c r="AW223" s="38">
        <f>ROUND(G223*AO223,2)</f>
        <v>0</v>
      </c>
      <c r="AX223" s="38">
        <f>ROUND(G223*AP223,2)</f>
        <v>0</v>
      </c>
      <c r="AY223" s="41" t="s">
        <v>537</v>
      </c>
      <c r="AZ223" s="41" t="s">
        <v>538</v>
      </c>
      <c r="BA223" s="13" t="s">
        <v>62</v>
      </c>
      <c r="BC223" s="38">
        <f>AW223+AX223</f>
        <v>0</v>
      </c>
      <c r="BD223" s="38">
        <f>H223/(100-BE223)*100</f>
        <v>0</v>
      </c>
      <c r="BE223" s="38">
        <v>0</v>
      </c>
      <c r="BF223" s="38">
        <f>O223</f>
        <v>0</v>
      </c>
      <c r="BH223" s="38">
        <f>G223*AO223</f>
        <v>0</v>
      </c>
      <c r="BI223" s="38">
        <f>G223*AP223</f>
        <v>0</v>
      </c>
      <c r="BJ223" s="38">
        <f>G223*H223</f>
        <v>0</v>
      </c>
      <c r="BK223" s="38"/>
      <c r="BL223" s="38">
        <v>771</v>
      </c>
      <c r="BW223" s="38">
        <f>I223</f>
        <v>21</v>
      </c>
      <c r="BX223" s="5" t="s">
        <v>548</v>
      </c>
    </row>
    <row r="224" spans="1:76" x14ac:dyDescent="0.25">
      <c r="A224" s="33" t="s">
        <v>50</v>
      </c>
      <c r="B224" s="34" t="s">
        <v>51</v>
      </c>
      <c r="C224" s="34" t="s">
        <v>549</v>
      </c>
      <c r="D224" s="191" t="s">
        <v>550</v>
      </c>
      <c r="E224" s="192"/>
      <c r="F224" s="36" t="s">
        <v>4</v>
      </c>
      <c r="G224" s="36" t="s">
        <v>4</v>
      </c>
      <c r="H224" s="36" t="s">
        <v>4</v>
      </c>
      <c r="I224" s="36" t="s">
        <v>4</v>
      </c>
      <c r="J224" s="1">
        <f>SUM(J225:J225)</f>
        <v>0</v>
      </c>
      <c r="K224" s="1">
        <f>SUM(K225:K225)</f>
        <v>0</v>
      </c>
      <c r="L224" s="1">
        <f>SUM(L225:L225)</f>
        <v>0</v>
      </c>
      <c r="M224" s="1">
        <f>SUM(M225:M225)</f>
        <v>0</v>
      </c>
      <c r="N224" s="13" t="s">
        <v>50</v>
      </c>
      <c r="O224" s="1">
        <f>SUM(O225:O225)</f>
        <v>6.8689280000000005E-2</v>
      </c>
      <c r="P224" s="37" t="s">
        <v>50</v>
      </c>
      <c r="AI224" s="13" t="s">
        <v>51</v>
      </c>
      <c r="AS224" s="1">
        <f>SUM(AJ225:AJ225)</f>
        <v>0</v>
      </c>
      <c r="AT224" s="1">
        <f>SUM(AK225:AK225)</f>
        <v>0</v>
      </c>
      <c r="AU224" s="1">
        <f>SUM(AL225:AL225)</f>
        <v>0</v>
      </c>
    </row>
    <row r="225" spans="1:76" x14ac:dyDescent="0.25">
      <c r="A225" s="2" t="s">
        <v>551</v>
      </c>
      <c r="B225" s="3" t="s">
        <v>51</v>
      </c>
      <c r="C225" s="3" t="s">
        <v>552</v>
      </c>
      <c r="D225" s="113" t="s">
        <v>553</v>
      </c>
      <c r="E225" s="110"/>
      <c r="F225" s="3" t="s">
        <v>58</v>
      </c>
      <c r="G225" s="38">
        <v>39.027999999999999</v>
      </c>
      <c r="H225" s="103"/>
      <c r="I225" s="39">
        <v>21</v>
      </c>
      <c r="J225" s="38">
        <f>ROUND(G225*AO225,2)</f>
        <v>0</v>
      </c>
      <c r="K225" s="38">
        <f>ROUND(G225*AP225,2)</f>
        <v>0</v>
      </c>
      <c r="L225" s="38">
        <f>ROUND(G225*H225,2)</f>
        <v>0</v>
      </c>
      <c r="M225" s="38">
        <f>L225*(1+BW225/100)</f>
        <v>0</v>
      </c>
      <c r="N225" s="38">
        <v>1.7600000000000001E-3</v>
      </c>
      <c r="O225" s="38">
        <f>G225*N225</f>
        <v>6.8689280000000005E-2</v>
      </c>
      <c r="P225" s="40" t="s">
        <v>59</v>
      </c>
      <c r="Z225" s="38">
        <f>ROUND(IF(AQ225="5",BJ225,0),2)</f>
        <v>0</v>
      </c>
      <c r="AB225" s="38">
        <f>ROUND(IF(AQ225="1",BH225,0),2)</f>
        <v>0</v>
      </c>
      <c r="AC225" s="38">
        <f>ROUND(IF(AQ225="1",BI225,0),2)</f>
        <v>0</v>
      </c>
      <c r="AD225" s="38">
        <f>ROUND(IF(AQ225="7",BH225,0),2)</f>
        <v>0</v>
      </c>
      <c r="AE225" s="38">
        <f>ROUND(IF(AQ225="7",BI225,0),2)</f>
        <v>0</v>
      </c>
      <c r="AF225" s="38">
        <f>ROUND(IF(AQ225="2",BH225,0),2)</f>
        <v>0</v>
      </c>
      <c r="AG225" s="38">
        <f>ROUND(IF(AQ225="2",BI225,0),2)</f>
        <v>0</v>
      </c>
      <c r="AH225" s="38">
        <f>ROUND(IF(AQ225="0",BJ225,0),2)</f>
        <v>0</v>
      </c>
      <c r="AI225" s="13" t="s">
        <v>51</v>
      </c>
      <c r="AJ225" s="38">
        <f>IF(AN225=0,L225,0)</f>
        <v>0</v>
      </c>
      <c r="AK225" s="38">
        <f>IF(AN225=12,L225,0)</f>
        <v>0</v>
      </c>
      <c r="AL225" s="38">
        <f>IF(AN225=21,L225,0)</f>
        <v>0</v>
      </c>
      <c r="AN225" s="38">
        <v>21</v>
      </c>
      <c r="AO225" s="38">
        <f>H225*0.755805489</f>
        <v>0</v>
      </c>
      <c r="AP225" s="38">
        <f>H225*(1-0.755805489)</f>
        <v>0</v>
      </c>
      <c r="AQ225" s="41" t="s">
        <v>84</v>
      </c>
      <c r="AV225" s="38">
        <f>ROUND(AW225+AX225,2)</f>
        <v>0</v>
      </c>
      <c r="AW225" s="38">
        <f>ROUND(G225*AO225,2)</f>
        <v>0</v>
      </c>
      <c r="AX225" s="38">
        <f>ROUND(G225*AP225,2)</f>
        <v>0</v>
      </c>
      <c r="AY225" s="41" t="s">
        <v>554</v>
      </c>
      <c r="AZ225" s="41" t="s">
        <v>538</v>
      </c>
      <c r="BA225" s="13" t="s">
        <v>62</v>
      </c>
      <c r="BC225" s="38">
        <f>AW225+AX225</f>
        <v>0</v>
      </c>
      <c r="BD225" s="38">
        <f>H225/(100-BE225)*100</f>
        <v>0</v>
      </c>
      <c r="BE225" s="38">
        <v>0</v>
      </c>
      <c r="BF225" s="38">
        <f>O225</f>
        <v>6.8689280000000005E-2</v>
      </c>
      <c r="BH225" s="38">
        <f>G225*AO225</f>
        <v>0</v>
      </c>
      <c r="BI225" s="38">
        <f>G225*AP225</f>
        <v>0</v>
      </c>
      <c r="BJ225" s="38">
        <f>G225*H225</f>
        <v>0</v>
      </c>
      <c r="BK225" s="38"/>
      <c r="BL225" s="38">
        <v>776</v>
      </c>
      <c r="BW225" s="38">
        <f>I225</f>
        <v>21</v>
      </c>
      <c r="BX225" s="5" t="s">
        <v>553</v>
      </c>
    </row>
    <row r="226" spans="1:76" ht="13.5" customHeight="1" x14ac:dyDescent="0.25">
      <c r="A226" s="42"/>
      <c r="C226" s="43" t="s">
        <v>87</v>
      </c>
      <c r="D226" s="179" t="s">
        <v>555</v>
      </c>
      <c r="E226" s="180"/>
      <c r="F226" s="180"/>
      <c r="G226" s="180"/>
      <c r="H226" s="180"/>
      <c r="I226" s="180"/>
      <c r="J226" s="180"/>
      <c r="K226" s="180"/>
      <c r="L226" s="180"/>
      <c r="M226" s="180"/>
      <c r="N226" s="180"/>
      <c r="O226" s="180"/>
      <c r="P226" s="181"/>
    </row>
    <row r="227" spans="1:76" x14ac:dyDescent="0.25">
      <c r="A227" s="33" t="s">
        <v>50</v>
      </c>
      <c r="B227" s="34" t="s">
        <v>51</v>
      </c>
      <c r="C227" s="34" t="s">
        <v>556</v>
      </c>
      <c r="D227" s="191" t="s">
        <v>557</v>
      </c>
      <c r="E227" s="192"/>
      <c r="F227" s="36" t="s">
        <v>4</v>
      </c>
      <c r="G227" s="36" t="s">
        <v>4</v>
      </c>
      <c r="H227" s="36" t="s">
        <v>4</v>
      </c>
      <c r="I227" s="36" t="s">
        <v>4</v>
      </c>
      <c r="J227" s="1">
        <f>SUM(J228:J236)</f>
        <v>0</v>
      </c>
      <c r="K227" s="1">
        <f>SUM(K228:K236)</f>
        <v>0</v>
      </c>
      <c r="L227" s="1">
        <f>SUM(L228:L236)</f>
        <v>0</v>
      </c>
      <c r="M227" s="1">
        <f>SUM(M228:M236)</f>
        <v>0</v>
      </c>
      <c r="N227" s="13" t="s">
        <v>50</v>
      </c>
      <c r="O227" s="1">
        <f>SUM(O228:O236)</f>
        <v>1.6832532</v>
      </c>
      <c r="P227" s="37" t="s">
        <v>50</v>
      </c>
      <c r="AI227" s="13" t="s">
        <v>51</v>
      </c>
      <c r="AS227" s="1">
        <f>SUM(AJ228:AJ236)</f>
        <v>0</v>
      </c>
      <c r="AT227" s="1">
        <f>SUM(AK228:AK236)</f>
        <v>0</v>
      </c>
      <c r="AU227" s="1">
        <f>SUM(AL228:AL236)</f>
        <v>0</v>
      </c>
    </row>
    <row r="228" spans="1:76" x14ac:dyDescent="0.25">
      <c r="A228" s="2" t="s">
        <v>558</v>
      </c>
      <c r="B228" s="3" t="s">
        <v>51</v>
      </c>
      <c r="C228" s="3" t="s">
        <v>559</v>
      </c>
      <c r="D228" s="113" t="s">
        <v>560</v>
      </c>
      <c r="E228" s="110"/>
      <c r="F228" s="3" t="s">
        <v>58</v>
      </c>
      <c r="G228" s="38">
        <v>62.64</v>
      </c>
      <c r="H228" s="103"/>
      <c r="I228" s="39">
        <v>21</v>
      </c>
      <c r="J228" s="38">
        <f>ROUND(G228*AO228,2)</f>
        <v>0</v>
      </c>
      <c r="K228" s="38">
        <f>ROUND(G228*AP228,2)</f>
        <v>0</v>
      </c>
      <c r="L228" s="38">
        <f>ROUND(G228*H228,2)</f>
        <v>0</v>
      </c>
      <c r="M228" s="38">
        <f>L228*(1+BW228/100)</f>
        <v>0</v>
      </c>
      <c r="N228" s="38">
        <v>5.0299999999999997E-3</v>
      </c>
      <c r="O228" s="38">
        <f>G228*N228</f>
        <v>0.3150792</v>
      </c>
      <c r="P228" s="40" t="s">
        <v>114</v>
      </c>
      <c r="Z228" s="38">
        <f>ROUND(IF(AQ228="5",BJ228,0),2)</f>
        <v>0</v>
      </c>
      <c r="AB228" s="38">
        <f>ROUND(IF(AQ228="1",BH228,0),2)</f>
        <v>0</v>
      </c>
      <c r="AC228" s="38">
        <f>ROUND(IF(AQ228="1",BI228,0),2)</f>
        <v>0</v>
      </c>
      <c r="AD228" s="38">
        <f>ROUND(IF(AQ228="7",BH228,0),2)</f>
        <v>0</v>
      </c>
      <c r="AE228" s="38">
        <f>ROUND(IF(AQ228="7",BI228,0),2)</f>
        <v>0</v>
      </c>
      <c r="AF228" s="38">
        <f>ROUND(IF(AQ228="2",BH228,0),2)</f>
        <v>0</v>
      </c>
      <c r="AG228" s="38">
        <f>ROUND(IF(AQ228="2",BI228,0),2)</f>
        <v>0</v>
      </c>
      <c r="AH228" s="38">
        <f>ROUND(IF(AQ228="0",BJ228,0),2)</f>
        <v>0</v>
      </c>
      <c r="AI228" s="13" t="s">
        <v>51</v>
      </c>
      <c r="AJ228" s="38">
        <f>IF(AN228=0,L228,0)</f>
        <v>0</v>
      </c>
      <c r="AK228" s="38">
        <f>IF(AN228=12,L228,0)</f>
        <v>0</v>
      </c>
      <c r="AL228" s="38">
        <f>IF(AN228=21,L228,0)</f>
        <v>0</v>
      </c>
      <c r="AN228" s="38">
        <v>21</v>
      </c>
      <c r="AO228" s="38">
        <f>H228*0.167056009</f>
        <v>0</v>
      </c>
      <c r="AP228" s="38">
        <f>H228*(1-0.167056009)</f>
        <v>0</v>
      </c>
      <c r="AQ228" s="41" t="s">
        <v>84</v>
      </c>
      <c r="AV228" s="38">
        <f>ROUND(AW228+AX228,2)</f>
        <v>0</v>
      </c>
      <c r="AW228" s="38">
        <f>ROUND(G228*AO228,2)</f>
        <v>0</v>
      </c>
      <c r="AX228" s="38">
        <f>ROUND(G228*AP228,2)</f>
        <v>0</v>
      </c>
      <c r="AY228" s="41" t="s">
        <v>561</v>
      </c>
      <c r="AZ228" s="41" t="s">
        <v>562</v>
      </c>
      <c r="BA228" s="13" t="s">
        <v>62</v>
      </c>
      <c r="BC228" s="38">
        <f>AW228+AX228</f>
        <v>0</v>
      </c>
      <c r="BD228" s="38">
        <f>H228/(100-BE228)*100</f>
        <v>0</v>
      </c>
      <c r="BE228" s="38">
        <v>0</v>
      </c>
      <c r="BF228" s="38">
        <f>O228</f>
        <v>0.3150792</v>
      </c>
      <c r="BH228" s="38">
        <f>G228*AO228</f>
        <v>0</v>
      </c>
      <c r="BI228" s="38">
        <f>G228*AP228</f>
        <v>0</v>
      </c>
      <c r="BJ228" s="38">
        <f>G228*H228</f>
        <v>0</v>
      </c>
      <c r="BK228" s="38"/>
      <c r="BL228" s="38">
        <v>781</v>
      </c>
      <c r="BW228" s="38">
        <f>I228</f>
        <v>21</v>
      </c>
      <c r="BX228" s="5" t="s">
        <v>560</v>
      </c>
    </row>
    <row r="229" spans="1:76" x14ac:dyDescent="0.25">
      <c r="A229" s="42"/>
      <c r="C229" s="43" t="s">
        <v>67</v>
      </c>
      <c r="D229" s="179" t="s">
        <v>563</v>
      </c>
      <c r="E229" s="180"/>
      <c r="F229" s="180"/>
      <c r="G229" s="180"/>
      <c r="H229" s="180"/>
      <c r="I229" s="180"/>
      <c r="J229" s="180"/>
      <c r="K229" s="180"/>
      <c r="L229" s="180"/>
      <c r="M229" s="180"/>
      <c r="N229" s="180"/>
      <c r="O229" s="180"/>
      <c r="P229" s="181"/>
      <c r="BX229" s="44" t="s">
        <v>563</v>
      </c>
    </row>
    <row r="230" spans="1:76" x14ac:dyDescent="0.25">
      <c r="A230" s="2" t="s">
        <v>564</v>
      </c>
      <c r="B230" s="3" t="s">
        <v>51</v>
      </c>
      <c r="C230" s="3" t="s">
        <v>565</v>
      </c>
      <c r="D230" s="113" t="s">
        <v>566</v>
      </c>
      <c r="E230" s="110"/>
      <c r="F230" s="3" t="s">
        <v>58</v>
      </c>
      <c r="G230" s="38">
        <v>72.036000000000001</v>
      </c>
      <c r="H230" s="103"/>
      <c r="I230" s="39">
        <v>21</v>
      </c>
      <c r="J230" s="38">
        <f>ROUND(G230*AO230,2)</f>
        <v>0</v>
      </c>
      <c r="K230" s="38">
        <f>ROUND(G230*AP230,2)</f>
        <v>0</v>
      </c>
      <c r="L230" s="38">
        <f>ROUND(G230*H230,2)</f>
        <v>0</v>
      </c>
      <c r="M230" s="38">
        <f>L230*(1+BW230/100)</f>
        <v>0</v>
      </c>
      <c r="N230" s="38">
        <v>1.8499999999999999E-2</v>
      </c>
      <c r="O230" s="38">
        <f>G230*N230</f>
        <v>1.3326659999999999</v>
      </c>
      <c r="P230" s="40" t="s">
        <v>114</v>
      </c>
      <c r="Z230" s="38">
        <f>ROUND(IF(AQ230="5",BJ230,0),2)</f>
        <v>0</v>
      </c>
      <c r="AB230" s="38">
        <f>ROUND(IF(AQ230="1",BH230,0),2)</f>
        <v>0</v>
      </c>
      <c r="AC230" s="38">
        <f>ROUND(IF(AQ230="1",BI230,0),2)</f>
        <v>0</v>
      </c>
      <c r="AD230" s="38">
        <f>ROUND(IF(AQ230="7",BH230,0),2)</f>
        <v>0</v>
      </c>
      <c r="AE230" s="38">
        <f>ROUND(IF(AQ230="7",BI230,0),2)</f>
        <v>0</v>
      </c>
      <c r="AF230" s="38">
        <f>ROUND(IF(AQ230="2",BH230,0),2)</f>
        <v>0</v>
      </c>
      <c r="AG230" s="38">
        <f>ROUND(IF(AQ230="2",BI230,0),2)</f>
        <v>0</v>
      </c>
      <c r="AH230" s="38">
        <f>ROUND(IF(AQ230="0",BJ230,0),2)</f>
        <v>0</v>
      </c>
      <c r="AI230" s="13" t="s">
        <v>51</v>
      </c>
      <c r="AJ230" s="38">
        <f>IF(AN230=0,L230,0)</f>
        <v>0</v>
      </c>
      <c r="AK230" s="38">
        <f>IF(AN230=12,L230,0)</f>
        <v>0</v>
      </c>
      <c r="AL230" s="38">
        <f>IF(AN230=21,L230,0)</f>
        <v>0</v>
      </c>
      <c r="AN230" s="38">
        <v>21</v>
      </c>
      <c r="AO230" s="38">
        <f>H230*1</f>
        <v>0</v>
      </c>
      <c r="AP230" s="38">
        <f>H230*(1-1)</f>
        <v>0</v>
      </c>
      <c r="AQ230" s="41" t="s">
        <v>84</v>
      </c>
      <c r="AV230" s="38">
        <f>ROUND(AW230+AX230,2)</f>
        <v>0</v>
      </c>
      <c r="AW230" s="38">
        <f>ROUND(G230*AO230,2)</f>
        <v>0</v>
      </c>
      <c r="AX230" s="38">
        <f>ROUND(G230*AP230,2)</f>
        <v>0</v>
      </c>
      <c r="AY230" s="41" t="s">
        <v>561</v>
      </c>
      <c r="AZ230" s="41" t="s">
        <v>562</v>
      </c>
      <c r="BA230" s="13" t="s">
        <v>62</v>
      </c>
      <c r="BC230" s="38">
        <f>AW230+AX230</f>
        <v>0</v>
      </c>
      <c r="BD230" s="38">
        <f>H230/(100-BE230)*100</f>
        <v>0</v>
      </c>
      <c r="BE230" s="38">
        <v>0</v>
      </c>
      <c r="BF230" s="38">
        <f>O230</f>
        <v>1.3326659999999999</v>
      </c>
      <c r="BH230" s="38">
        <f>G230*AO230</f>
        <v>0</v>
      </c>
      <c r="BI230" s="38">
        <f>G230*AP230</f>
        <v>0</v>
      </c>
      <c r="BJ230" s="38">
        <f>G230*H230</f>
        <v>0</v>
      </c>
      <c r="BK230" s="38"/>
      <c r="BL230" s="38">
        <v>781</v>
      </c>
      <c r="BW230" s="38">
        <f>I230</f>
        <v>21</v>
      </c>
      <c r="BX230" s="5" t="s">
        <v>566</v>
      </c>
    </row>
    <row r="231" spans="1:76" x14ac:dyDescent="0.25">
      <c r="A231" s="2" t="s">
        <v>567</v>
      </c>
      <c r="B231" s="3" t="s">
        <v>51</v>
      </c>
      <c r="C231" s="3" t="s">
        <v>568</v>
      </c>
      <c r="D231" s="113" t="s">
        <v>569</v>
      </c>
      <c r="E231" s="110"/>
      <c r="F231" s="3" t="s">
        <v>58</v>
      </c>
      <c r="G231" s="38">
        <v>20.53</v>
      </c>
      <c r="H231" s="103"/>
      <c r="I231" s="39">
        <v>21</v>
      </c>
      <c r="J231" s="38">
        <f>ROUND(G231*AO231,2)</f>
        <v>0</v>
      </c>
      <c r="K231" s="38">
        <f>ROUND(G231*AP231,2)</f>
        <v>0</v>
      </c>
      <c r="L231" s="38">
        <f>ROUND(G231*H231,2)</f>
        <v>0</v>
      </c>
      <c r="M231" s="38">
        <f>L231*(1+BW231/100)</f>
        <v>0</v>
      </c>
      <c r="N231" s="38">
        <v>0</v>
      </c>
      <c r="O231" s="38">
        <f>G231*N231</f>
        <v>0</v>
      </c>
      <c r="P231" s="40" t="s">
        <v>59</v>
      </c>
      <c r="Z231" s="38">
        <f>ROUND(IF(AQ231="5",BJ231,0),2)</f>
        <v>0</v>
      </c>
      <c r="AB231" s="38">
        <f>ROUND(IF(AQ231="1",BH231,0),2)</f>
        <v>0</v>
      </c>
      <c r="AC231" s="38">
        <f>ROUND(IF(AQ231="1",BI231,0),2)</f>
        <v>0</v>
      </c>
      <c r="AD231" s="38">
        <f>ROUND(IF(AQ231="7",BH231,0),2)</f>
        <v>0</v>
      </c>
      <c r="AE231" s="38">
        <f>ROUND(IF(AQ231="7",BI231,0),2)</f>
        <v>0</v>
      </c>
      <c r="AF231" s="38">
        <f>ROUND(IF(AQ231="2",BH231,0),2)</f>
        <v>0</v>
      </c>
      <c r="AG231" s="38">
        <f>ROUND(IF(AQ231="2",BI231,0),2)</f>
        <v>0</v>
      </c>
      <c r="AH231" s="38">
        <f>ROUND(IF(AQ231="0",BJ231,0),2)</f>
        <v>0</v>
      </c>
      <c r="AI231" s="13" t="s">
        <v>51</v>
      </c>
      <c r="AJ231" s="38">
        <f>IF(AN231=0,L231,0)</f>
        <v>0</v>
      </c>
      <c r="AK231" s="38">
        <f>IF(AN231=12,L231,0)</f>
        <v>0</v>
      </c>
      <c r="AL231" s="38">
        <f>IF(AN231=21,L231,0)</f>
        <v>0</v>
      </c>
      <c r="AN231" s="38">
        <v>21</v>
      </c>
      <c r="AO231" s="38">
        <f>H231*0</f>
        <v>0</v>
      </c>
      <c r="AP231" s="38">
        <f>H231*(1-0)</f>
        <v>0</v>
      </c>
      <c r="AQ231" s="41" t="s">
        <v>84</v>
      </c>
      <c r="AV231" s="38">
        <f>ROUND(AW231+AX231,2)</f>
        <v>0</v>
      </c>
      <c r="AW231" s="38">
        <f>ROUND(G231*AO231,2)</f>
        <v>0</v>
      </c>
      <c r="AX231" s="38">
        <f>ROUND(G231*AP231,2)</f>
        <v>0</v>
      </c>
      <c r="AY231" s="41" t="s">
        <v>561</v>
      </c>
      <c r="AZ231" s="41" t="s">
        <v>562</v>
      </c>
      <c r="BA231" s="13" t="s">
        <v>62</v>
      </c>
      <c r="BC231" s="38">
        <f>AW231+AX231</f>
        <v>0</v>
      </c>
      <c r="BD231" s="38">
        <f>H231/(100-BE231)*100</f>
        <v>0</v>
      </c>
      <c r="BE231" s="38">
        <v>0</v>
      </c>
      <c r="BF231" s="38">
        <f>O231</f>
        <v>0</v>
      </c>
      <c r="BH231" s="38">
        <f>G231*AO231</f>
        <v>0</v>
      </c>
      <c r="BI231" s="38">
        <f>G231*AP231</f>
        <v>0</v>
      </c>
      <c r="BJ231" s="38">
        <f>G231*H231</f>
        <v>0</v>
      </c>
      <c r="BK231" s="38"/>
      <c r="BL231" s="38">
        <v>781</v>
      </c>
      <c r="BW231" s="38">
        <f>I231</f>
        <v>21</v>
      </c>
      <c r="BX231" s="5" t="s">
        <v>569</v>
      </c>
    </row>
    <row r="232" spans="1:76" x14ac:dyDescent="0.25">
      <c r="A232" s="2" t="s">
        <v>570</v>
      </c>
      <c r="B232" s="3" t="s">
        <v>51</v>
      </c>
      <c r="C232" s="3" t="s">
        <v>571</v>
      </c>
      <c r="D232" s="113" t="s">
        <v>572</v>
      </c>
      <c r="E232" s="110"/>
      <c r="F232" s="3" t="s">
        <v>100</v>
      </c>
      <c r="G232" s="38">
        <v>53.8</v>
      </c>
      <c r="H232" s="103"/>
      <c r="I232" s="39">
        <v>21</v>
      </c>
      <c r="J232" s="38">
        <f>ROUND(G232*AO232,2)</f>
        <v>0</v>
      </c>
      <c r="K232" s="38">
        <f>ROUND(G232*AP232,2)</f>
        <v>0</v>
      </c>
      <c r="L232" s="38">
        <f>ROUND(G232*H232,2)</f>
        <v>0</v>
      </c>
      <c r="M232" s="38">
        <f>L232*(1+BW232/100)</f>
        <v>0</v>
      </c>
      <c r="N232" s="38">
        <v>0</v>
      </c>
      <c r="O232" s="38">
        <f>G232*N232</f>
        <v>0</v>
      </c>
      <c r="P232" s="40" t="s">
        <v>59</v>
      </c>
      <c r="Z232" s="38">
        <f>ROUND(IF(AQ232="5",BJ232,0),2)</f>
        <v>0</v>
      </c>
      <c r="AB232" s="38">
        <f>ROUND(IF(AQ232="1",BH232,0),2)</f>
        <v>0</v>
      </c>
      <c r="AC232" s="38">
        <f>ROUND(IF(AQ232="1",BI232,0),2)</f>
        <v>0</v>
      </c>
      <c r="AD232" s="38">
        <f>ROUND(IF(AQ232="7",BH232,0),2)</f>
        <v>0</v>
      </c>
      <c r="AE232" s="38">
        <f>ROUND(IF(AQ232="7",BI232,0),2)</f>
        <v>0</v>
      </c>
      <c r="AF232" s="38">
        <f>ROUND(IF(AQ232="2",BH232,0),2)</f>
        <v>0</v>
      </c>
      <c r="AG232" s="38">
        <f>ROUND(IF(AQ232="2",BI232,0),2)</f>
        <v>0</v>
      </c>
      <c r="AH232" s="38">
        <f>ROUND(IF(AQ232="0",BJ232,0),2)</f>
        <v>0</v>
      </c>
      <c r="AI232" s="13" t="s">
        <v>51</v>
      </c>
      <c r="AJ232" s="38">
        <f>IF(AN232=0,L232,0)</f>
        <v>0</v>
      </c>
      <c r="AK232" s="38">
        <f>IF(AN232=12,L232,0)</f>
        <v>0</v>
      </c>
      <c r="AL232" s="38">
        <f>IF(AN232=21,L232,0)</f>
        <v>0</v>
      </c>
      <c r="AN232" s="38">
        <v>21</v>
      </c>
      <c r="AO232" s="38">
        <f>H232*0</f>
        <v>0</v>
      </c>
      <c r="AP232" s="38">
        <f>H232*(1-0)</f>
        <v>0</v>
      </c>
      <c r="AQ232" s="41" t="s">
        <v>84</v>
      </c>
      <c r="AV232" s="38">
        <f>ROUND(AW232+AX232,2)</f>
        <v>0</v>
      </c>
      <c r="AW232" s="38">
        <f>ROUND(G232*AO232,2)</f>
        <v>0</v>
      </c>
      <c r="AX232" s="38">
        <f>ROUND(G232*AP232,2)</f>
        <v>0</v>
      </c>
      <c r="AY232" s="41" t="s">
        <v>561</v>
      </c>
      <c r="AZ232" s="41" t="s">
        <v>562</v>
      </c>
      <c r="BA232" s="13" t="s">
        <v>62</v>
      </c>
      <c r="BC232" s="38">
        <f>AW232+AX232</f>
        <v>0</v>
      </c>
      <c r="BD232" s="38">
        <f>H232/(100-BE232)*100</f>
        <v>0</v>
      </c>
      <c r="BE232" s="38">
        <v>0</v>
      </c>
      <c r="BF232" s="38">
        <f>O232</f>
        <v>0</v>
      </c>
      <c r="BH232" s="38">
        <f>G232*AO232</f>
        <v>0</v>
      </c>
      <c r="BI232" s="38">
        <f>G232*AP232</f>
        <v>0</v>
      </c>
      <c r="BJ232" s="38">
        <f>G232*H232</f>
        <v>0</v>
      </c>
      <c r="BK232" s="38"/>
      <c r="BL232" s="38">
        <v>781</v>
      </c>
      <c r="BW232" s="38">
        <f>I232</f>
        <v>21</v>
      </c>
      <c r="BX232" s="5" t="s">
        <v>572</v>
      </c>
    </row>
    <row r="233" spans="1:76" ht="13.5" customHeight="1" x14ac:dyDescent="0.25">
      <c r="A233" s="42"/>
      <c r="C233" s="43" t="s">
        <v>87</v>
      </c>
      <c r="D233" s="179" t="s">
        <v>573</v>
      </c>
      <c r="E233" s="180"/>
      <c r="F233" s="180"/>
      <c r="G233" s="180"/>
      <c r="H233" s="180"/>
      <c r="I233" s="180"/>
      <c r="J233" s="180"/>
      <c r="K233" s="180"/>
      <c r="L233" s="180"/>
      <c r="M233" s="180"/>
      <c r="N233" s="180"/>
      <c r="O233" s="180"/>
      <c r="P233" s="181"/>
    </row>
    <row r="234" spans="1:76" x14ac:dyDescent="0.25">
      <c r="A234" s="2" t="s">
        <v>574</v>
      </c>
      <c r="B234" s="3" t="s">
        <v>51</v>
      </c>
      <c r="C234" s="3" t="s">
        <v>575</v>
      </c>
      <c r="D234" s="113" t="s">
        <v>576</v>
      </c>
      <c r="E234" s="110"/>
      <c r="F234" s="3" t="s">
        <v>100</v>
      </c>
      <c r="G234" s="38">
        <v>53.8</v>
      </c>
      <c r="H234" s="103"/>
      <c r="I234" s="39">
        <v>21</v>
      </c>
      <c r="J234" s="38">
        <f>ROUND(G234*AO234,2)</f>
        <v>0</v>
      </c>
      <c r="K234" s="38">
        <f>ROUND(G234*AP234,2)</f>
        <v>0</v>
      </c>
      <c r="L234" s="38">
        <f>ROUND(G234*H234,2)</f>
        <v>0</v>
      </c>
      <c r="M234" s="38">
        <f>L234*(1+BW234/100)</f>
        <v>0</v>
      </c>
      <c r="N234" s="38">
        <v>6.6E-4</v>
      </c>
      <c r="O234" s="38">
        <f>G234*N234</f>
        <v>3.5507999999999998E-2</v>
      </c>
      <c r="P234" s="40" t="s">
        <v>59</v>
      </c>
      <c r="Z234" s="38">
        <f>ROUND(IF(AQ234="5",BJ234,0),2)</f>
        <v>0</v>
      </c>
      <c r="AB234" s="38">
        <f>ROUND(IF(AQ234="1",BH234,0),2)</f>
        <v>0</v>
      </c>
      <c r="AC234" s="38">
        <f>ROUND(IF(AQ234="1",BI234,0),2)</f>
        <v>0</v>
      </c>
      <c r="AD234" s="38">
        <f>ROUND(IF(AQ234="7",BH234,0),2)</f>
        <v>0</v>
      </c>
      <c r="AE234" s="38">
        <f>ROUND(IF(AQ234="7",BI234,0),2)</f>
        <v>0</v>
      </c>
      <c r="AF234" s="38">
        <f>ROUND(IF(AQ234="2",BH234,0),2)</f>
        <v>0</v>
      </c>
      <c r="AG234" s="38">
        <f>ROUND(IF(AQ234="2",BI234,0),2)</f>
        <v>0</v>
      </c>
      <c r="AH234" s="38">
        <f>ROUND(IF(AQ234="0",BJ234,0),2)</f>
        <v>0</v>
      </c>
      <c r="AI234" s="13" t="s">
        <v>51</v>
      </c>
      <c r="AJ234" s="38">
        <f>IF(AN234=0,L234,0)</f>
        <v>0</v>
      </c>
      <c r="AK234" s="38">
        <f>IF(AN234=12,L234,0)</f>
        <v>0</v>
      </c>
      <c r="AL234" s="38">
        <f>IF(AN234=21,L234,0)</f>
        <v>0</v>
      </c>
      <c r="AN234" s="38">
        <v>21</v>
      </c>
      <c r="AO234" s="38">
        <f>H234*0.884918786</f>
        <v>0</v>
      </c>
      <c r="AP234" s="38">
        <f>H234*(1-0.884918786)</f>
        <v>0</v>
      </c>
      <c r="AQ234" s="41" t="s">
        <v>84</v>
      </c>
      <c r="AV234" s="38">
        <f>ROUND(AW234+AX234,2)</f>
        <v>0</v>
      </c>
      <c r="AW234" s="38">
        <f>ROUND(G234*AO234,2)</f>
        <v>0</v>
      </c>
      <c r="AX234" s="38">
        <f>ROUND(G234*AP234,2)</f>
        <v>0</v>
      </c>
      <c r="AY234" s="41" t="s">
        <v>561</v>
      </c>
      <c r="AZ234" s="41" t="s">
        <v>562</v>
      </c>
      <c r="BA234" s="13" t="s">
        <v>62</v>
      </c>
      <c r="BC234" s="38">
        <f>AW234+AX234</f>
        <v>0</v>
      </c>
      <c r="BD234" s="38">
        <f>H234/(100-BE234)*100</f>
        <v>0</v>
      </c>
      <c r="BE234" s="38">
        <v>0</v>
      </c>
      <c r="BF234" s="38">
        <f>O234</f>
        <v>3.5507999999999998E-2</v>
      </c>
      <c r="BH234" s="38">
        <f>G234*AO234</f>
        <v>0</v>
      </c>
      <c r="BI234" s="38">
        <f>G234*AP234</f>
        <v>0</v>
      </c>
      <c r="BJ234" s="38">
        <f>G234*H234</f>
        <v>0</v>
      </c>
      <c r="BK234" s="38"/>
      <c r="BL234" s="38">
        <v>781</v>
      </c>
      <c r="BW234" s="38">
        <f>I234</f>
        <v>21</v>
      </c>
      <c r="BX234" s="5" t="s">
        <v>576</v>
      </c>
    </row>
    <row r="235" spans="1:76" ht="13.5" customHeight="1" x14ac:dyDescent="0.25">
      <c r="A235" s="42"/>
      <c r="C235" s="43" t="s">
        <v>87</v>
      </c>
      <c r="D235" s="179" t="s">
        <v>577</v>
      </c>
      <c r="E235" s="180"/>
      <c r="F235" s="180"/>
      <c r="G235" s="180"/>
      <c r="H235" s="180"/>
      <c r="I235" s="180"/>
      <c r="J235" s="180"/>
      <c r="K235" s="180"/>
      <c r="L235" s="180"/>
      <c r="M235" s="180"/>
      <c r="N235" s="180"/>
      <c r="O235" s="180"/>
      <c r="P235" s="181"/>
    </row>
    <row r="236" spans="1:76" x14ac:dyDescent="0.25">
      <c r="A236" s="2" t="s">
        <v>578</v>
      </c>
      <c r="B236" s="3" t="s">
        <v>51</v>
      </c>
      <c r="C236" s="3" t="s">
        <v>579</v>
      </c>
      <c r="D236" s="113" t="s">
        <v>580</v>
      </c>
      <c r="E236" s="110"/>
      <c r="F236" s="3" t="s">
        <v>134</v>
      </c>
      <c r="G236" s="38">
        <v>1.6832499999999999</v>
      </c>
      <c r="H236" s="103"/>
      <c r="I236" s="39">
        <v>21</v>
      </c>
      <c r="J236" s="38">
        <f>ROUND(G236*AO236,2)</f>
        <v>0</v>
      </c>
      <c r="K236" s="38">
        <f>ROUND(G236*AP236,2)</f>
        <v>0</v>
      </c>
      <c r="L236" s="38">
        <f>ROUND(G236*H236,2)</f>
        <v>0</v>
      </c>
      <c r="M236" s="38">
        <f>L236*(1+BW236/100)</f>
        <v>0</v>
      </c>
      <c r="N236" s="38">
        <v>0</v>
      </c>
      <c r="O236" s="38">
        <f>G236*N236</f>
        <v>0</v>
      </c>
      <c r="P236" s="40" t="s">
        <v>59</v>
      </c>
      <c r="Z236" s="38">
        <f>ROUND(IF(AQ236="5",BJ236,0),2)</f>
        <v>0</v>
      </c>
      <c r="AB236" s="38">
        <f>ROUND(IF(AQ236="1",BH236,0),2)</f>
        <v>0</v>
      </c>
      <c r="AC236" s="38">
        <f>ROUND(IF(AQ236="1",BI236,0),2)</f>
        <v>0</v>
      </c>
      <c r="AD236" s="38">
        <f>ROUND(IF(AQ236="7",BH236,0),2)</f>
        <v>0</v>
      </c>
      <c r="AE236" s="38">
        <f>ROUND(IF(AQ236="7",BI236,0),2)</f>
        <v>0</v>
      </c>
      <c r="AF236" s="38">
        <f>ROUND(IF(AQ236="2",BH236,0),2)</f>
        <v>0</v>
      </c>
      <c r="AG236" s="38">
        <f>ROUND(IF(AQ236="2",BI236,0),2)</f>
        <v>0</v>
      </c>
      <c r="AH236" s="38">
        <f>ROUND(IF(AQ236="0",BJ236,0),2)</f>
        <v>0</v>
      </c>
      <c r="AI236" s="13" t="s">
        <v>51</v>
      </c>
      <c r="AJ236" s="38">
        <f>IF(AN236=0,L236,0)</f>
        <v>0</v>
      </c>
      <c r="AK236" s="38">
        <f>IF(AN236=12,L236,0)</f>
        <v>0</v>
      </c>
      <c r="AL236" s="38">
        <f>IF(AN236=21,L236,0)</f>
        <v>0</v>
      </c>
      <c r="AN236" s="38">
        <v>21</v>
      </c>
      <c r="AO236" s="38">
        <f>H236*0</f>
        <v>0</v>
      </c>
      <c r="AP236" s="38">
        <f>H236*(1-0)</f>
        <v>0</v>
      </c>
      <c r="AQ236" s="41" t="s">
        <v>77</v>
      </c>
      <c r="AV236" s="38">
        <f>ROUND(AW236+AX236,2)</f>
        <v>0</v>
      </c>
      <c r="AW236" s="38">
        <f>ROUND(G236*AO236,2)</f>
        <v>0</v>
      </c>
      <c r="AX236" s="38">
        <f>ROUND(G236*AP236,2)</f>
        <v>0</v>
      </c>
      <c r="AY236" s="41" t="s">
        <v>561</v>
      </c>
      <c r="AZ236" s="41" t="s">
        <v>562</v>
      </c>
      <c r="BA236" s="13" t="s">
        <v>62</v>
      </c>
      <c r="BC236" s="38">
        <f>AW236+AX236</f>
        <v>0</v>
      </c>
      <c r="BD236" s="38">
        <f>H236/(100-BE236)*100</f>
        <v>0</v>
      </c>
      <c r="BE236" s="38">
        <v>0</v>
      </c>
      <c r="BF236" s="38">
        <f>O236</f>
        <v>0</v>
      </c>
      <c r="BH236" s="38">
        <f>G236*AO236</f>
        <v>0</v>
      </c>
      <c r="BI236" s="38">
        <f>G236*AP236</f>
        <v>0</v>
      </c>
      <c r="BJ236" s="38">
        <f>G236*H236</f>
        <v>0</v>
      </c>
      <c r="BK236" s="38"/>
      <c r="BL236" s="38">
        <v>781</v>
      </c>
      <c r="BW236" s="38">
        <f>I236</f>
        <v>21</v>
      </c>
      <c r="BX236" s="5" t="s">
        <v>580</v>
      </c>
    </row>
    <row r="237" spans="1:76" x14ac:dyDescent="0.25">
      <c r="A237" s="33" t="s">
        <v>50</v>
      </c>
      <c r="B237" s="34" t="s">
        <v>51</v>
      </c>
      <c r="C237" s="34" t="s">
        <v>581</v>
      </c>
      <c r="D237" s="191" t="s">
        <v>582</v>
      </c>
      <c r="E237" s="192"/>
      <c r="F237" s="36" t="s">
        <v>4</v>
      </c>
      <c r="G237" s="36" t="s">
        <v>4</v>
      </c>
      <c r="H237" s="36" t="s">
        <v>4</v>
      </c>
      <c r="I237" s="36" t="s">
        <v>4</v>
      </c>
      <c r="J237" s="1">
        <f>SUM(J238:J240)</f>
        <v>0</v>
      </c>
      <c r="K237" s="1">
        <f>SUM(K238:K240)</f>
        <v>0</v>
      </c>
      <c r="L237" s="1">
        <f>SUM(L238:L240)</f>
        <v>0</v>
      </c>
      <c r="M237" s="1">
        <f>SUM(M238:M240)</f>
        <v>0</v>
      </c>
      <c r="N237" s="13" t="s">
        <v>50</v>
      </c>
      <c r="O237" s="1">
        <f>SUM(O238:O240)</f>
        <v>1.2032E-3</v>
      </c>
      <c r="P237" s="37" t="s">
        <v>50</v>
      </c>
      <c r="AI237" s="13" t="s">
        <v>51</v>
      </c>
      <c r="AS237" s="1">
        <f>SUM(AJ238:AJ240)</f>
        <v>0</v>
      </c>
      <c r="AT237" s="1">
        <f>SUM(AK238:AK240)</f>
        <v>0</v>
      </c>
      <c r="AU237" s="1">
        <f>SUM(AL238:AL240)</f>
        <v>0</v>
      </c>
    </row>
    <row r="238" spans="1:76" x14ac:dyDescent="0.25">
      <c r="A238" s="2" t="s">
        <v>583</v>
      </c>
      <c r="B238" s="3" t="s">
        <v>51</v>
      </c>
      <c r="C238" s="3" t="s">
        <v>584</v>
      </c>
      <c r="D238" s="113" t="s">
        <v>585</v>
      </c>
      <c r="E238" s="110"/>
      <c r="F238" s="3" t="s">
        <v>58</v>
      </c>
      <c r="G238" s="38">
        <v>3.76</v>
      </c>
      <c r="H238" s="103"/>
      <c r="I238" s="39">
        <v>21</v>
      </c>
      <c r="J238" s="38">
        <f>ROUND(G238*AO238,2)</f>
        <v>0</v>
      </c>
      <c r="K238" s="38">
        <f>ROUND(G238*AP238,2)</f>
        <v>0</v>
      </c>
      <c r="L238" s="38">
        <f>ROUND(G238*H238,2)</f>
        <v>0</v>
      </c>
      <c r="M238" s="38">
        <f>L238*(1+BW238/100)</f>
        <v>0</v>
      </c>
      <c r="N238" s="38">
        <v>1.0000000000000001E-5</v>
      </c>
      <c r="O238" s="38">
        <f>G238*N238</f>
        <v>3.7599999999999999E-5</v>
      </c>
      <c r="P238" s="40" t="s">
        <v>59</v>
      </c>
      <c r="Z238" s="38">
        <f>ROUND(IF(AQ238="5",BJ238,0),2)</f>
        <v>0</v>
      </c>
      <c r="AB238" s="38">
        <f>ROUND(IF(AQ238="1",BH238,0),2)</f>
        <v>0</v>
      </c>
      <c r="AC238" s="38">
        <f>ROUND(IF(AQ238="1",BI238,0),2)</f>
        <v>0</v>
      </c>
      <c r="AD238" s="38">
        <f>ROUND(IF(AQ238="7",BH238,0),2)</f>
        <v>0</v>
      </c>
      <c r="AE238" s="38">
        <f>ROUND(IF(AQ238="7",BI238,0),2)</f>
        <v>0</v>
      </c>
      <c r="AF238" s="38">
        <f>ROUND(IF(AQ238="2",BH238,0),2)</f>
        <v>0</v>
      </c>
      <c r="AG238" s="38">
        <f>ROUND(IF(AQ238="2",BI238,0),2)</f>
        <v>0</v>
      </c>
      <c r="AH238" s="38">
        <f>ROUND(IF(AQ238="0",BJ238,0),2)</f>
        <v>0</v>
      </c>
      <c r="AI238" s="13" t="s">
        <v>51</v>
      </c>
      <c r="AJ238" s="38">
        <f>IF(AN238=0,L238,0)</f>
        <v>0</v>
      </c>
      <c r="AK238" s="38">
        <f>IF(AN238=12,L238,0)</f>
        <v>0</v>
      </c>
      <c r="AL238" s="38">
        <f>IF(AN238=21,L238,0)</f>
        <v>0</v>
      </c>
      <c r="AN238" s="38">
        <v>21</v>
      </c>
      <c r="AO238" s="38">
        <f>H238*0.054739188</f>
        <v>0</v>
      </c>
      <c r="AP238" s="38">
        <f>H238*(1-0.054739188)</f>
        <v>0</v>
      </c>
      <c r="AQ238" s="41" t="s">
        <v>84</v>
      </c>
      <c r="AV238" s="38">
        <f>ROUND(AW238+AX238,2)</f>
        <v>0</v>
      </c>
      <c r="AW238" s="38">
        <f>ROUND(G238*AO238,2)</f>
        <v>0</v>
      </c>
      <c r="AX238" s="38">
        <f>ROUND(G238*AP238,2)</f>
        <v>0</v>
      </c>
      <c r="AY238" s="41" t="s">
        <v>586</v>
      </c>
      <c r="AZ238" s="41" t="s">
        <v>562</v>
      </c>
      <c r="BA238" s="13" t="s">
        <v>62</v>
      </c>
      <c r="BC238" s="38">
        <f>AW238+AX238</f>
        <v>0</v>
      </c>
      <c r="BD238" s="38">
        <f>H238/(100-BE238)*100</f>
        <v>0</v>
      </c>
      <c r="BE238" s="38">
        <v>0</v>
      </c>
      <c r="BF238" s="38">
        <f>O238</f>
        <v>3.7599999999999999E-5</v>
      </c>
      <c r="BH238" s="38">
        <f>G238*AO238</f>
        <v>0</v>
      </c>
      <c r="BI238" s="38">
        <f>G238*AP238</f>
        <v>0</v>
      </c>
      <c r="BJ238" s="38">
        <f>G238*H238</f>
        <v>0</v>
      </c>
      <c r="BK238" s="38"/>
      <c r="BL238" s="38">
        <v>783</v>
      </c>
      <c r="BW238" s="38">
        <f>I238</f>
        <v>21</v>
      </c>
      <c r="BX238" s="5" t="s">
        <v>585</v>
      </c>
    </row>
    <row r="239" spans="1:76" x14ac:dyDescent="0.25">
      <c r="A239" s="2" t="s">
        <v>587</v>
      </c>
      <c r="B239" s="3" t="s">
        <v>51</v>
      </c>
      <c r="C239" s="3" t="s">
        <v>588</v>
      </c>
      <c r="D239" s="113" t="s">
        <v>589</v>
      </c>
      <c r="E239" s="110"/>
      <c r="F239" s="3" t="s">
        <v>58</v>
      </c>
      <c r="G239" s="38">
        <v>3.76</v>
      </c>
      <c r="H239" s="103"/>
      <c r="I239" s="39">
        <v>21</v>
      </c>
      <c r="J239" s="38">
        <f>ROUND(G239*AO239,2)</f>
        <v>0</v>
      </c>
      <c r="K239" s="38">
        <f>ROUND(G239*AP239,2)</f>
        <v>0</v>
      </c>
      <c r="L239" s="38">
        <f>ROUND(G239*H239,2)</f>
        <v>0</v>
      </c>
      <c r="M239" s="38">
        <f>L239*(1+BW239/100)</f>
        <v>0</v>
      </c>
      <c r="N239" s="38">
        <v>3.1E-4</v>
      </c>
      <c r="O239" s="38">
        <f>G239*N239</f>
        <v>1.1655999999999999E-3</v>
      </c>
      <c r="P239" s="40" t="s">
        <v>59</v>
      </c>
      <c r="Z239" s="38">
        <f>ROUND(IF(AQ239="5",BJ239,0),2)</f>
        <v>0</v>
      </c>
      <c r="AB239" s="38">
        <f>ROUND(IF(AQ239="1",BH239,0),2)</f>
        <v>0</v>
      </c>
      <c r="AC239" s="38">
        <f>ROUND(IF(AQ239="1",BI239,0),2)</f>
        <v>0</v>
      </c>
      <c r="AD239" s="38">
        <f>ROUND(IF(AQ239="7",BH239,0),2)</f>
        <v>0</v>
      </c>
      <c r="AE239" s="38">
        <f>ROUND(IF(AQ239="7",BI239,0),2)</f>
        <v>0</v>
      </c>
      <c r="AF239" s="38">
        <f>ROUND(IF(AQ239="2",BH239,0),2)</f>
        <v>0</v>
      </c>
      <c r="AG239" s="38">
        <f>ROUND(IF(AQ239="2",BI239,0),2)</f>
        <v>0</v>
      </c>
      <c r="AH239" s="38">
        <f>ROUND(IF(AQ239="0",BJ239,0),2)</f>
        <v>0</v>
      </c>
      <c r="AI239" s="13" t="s">
        <v>51</v>
      </c>
      <c r="AJ239" s="38">
        <f>IF(AN239=0,L239,0)</f>
        <v>0</v>
      </c>
      <c r="AK239" s="38">
        <f>IF(AN239=12,L239,0)</f>
        <v>0</v>
      </c>
      <c r="AL239" s="38">
        <f>IF(AN239=21,L239,0)</f>
        <v>0</v>
      </c>
      <c r="AN239" s="38">
        <v>21</v>
      </c>
      <c r="AO239" s="38">
        <f>H239*0.180336021</f>
        <v>0</v>
      </c>
      <c r="AP239" s="38">
        <f>H239*(1-0.180336021)</f>
        <v>0</v>
      </c>
      <c r="AQ239" s="41" t="s">
        <v>84</v>
      </c>
      <c r="AV239" s="38">
        <f>ROUND(AW239+AX239,2)</f>
        <v>0</v>
      </c>
      <c r="AW239" s="38">
        <f>ROUND(G239*AO239,2)</f>
        <v>0</v>
      </c>
      <c r="AX239" s="38">
        <f>ROUND(G239*AP239,2)</f>
        <v>0</v>
      </c>
      <c r="AY239" s="41" t="s">
        <v>586</v>
      </c>
      <c r="AZ239" s="41" t="s">
        <v>562</v>
      </c>
      <c r="BA239" s="13" t="s">
        <v>62</v>
      </c>
      <c r="BC239" s="38">
        <f>AW239+AX239</f>
        <v>0</v>
      </c>
      <c r="BD239" s="38">
        <f>H239/(100-BE239)*100</f>
        <v>0</v>
      </c>
      <c r="BE239" s="38">
        <v>0</v>
      </c>
      <c r="BF239" s="38">
        <f>O239</f>
        <v>1.1655999999999999E-3</v>
      </c>
      <c r="BH239" s="38">
        <f>G239*AO239</f>
        <v>0</v>
      </c>
      <c r="BI239" s="38">
        <f>G239*AP239</f>
        <v>0</v>
      </c>
      <c r="BJ239" s="38">
        <f>G239*H239</f>
        <v>0</v>
      </c>
      <c r="BK239" s="38"/>
      <c r="BL239" s="38">
        <v>783</v>
      </c>
      <c r="BW239" s="38">
        <f>I239</f>
        <v>21</v>
      </c>
      <c r="BX239" s="5" t="s">
        <v>589</v>
      </c>
    </row>
    <row r="240" spans="1:76" x14ac:dyDescent="0.25">
      <c r="A240" s="2" t="s">
        <v>590</v>
      </c>
      <c r="B240" s="3" t="s">
        <v>51</v>
      </c>
      <c r="C240" s="3" t="s">
        <v>218</v>
      </c>
      <c r="D240" s="113" t="s">
        <v>219</v>
      </c>
      <c r="E240" s="110"/>
      <c r="F240" s="3" t="s">
        <v>134</v>
      </c>
      <c r="G240" s="38">
        <v>1.1999999999999999E-3</v>
      </c>
      <c r="H240" s="103"/>
      <c r="I240" s="39">
        <v>21</v>
      </c>
      <c r="J240" s="38">
        <f>ROUND(G240*AO240,2)</f>
        <v>0</v>
      </c>
      <c r="K240" s="38">
        <f>ROUND(G240*AP240,2)</f>
        <v>0</v>
      </c>
      <c r="L240" s="38">
        <f>ROUND(G240*H240,2)</f>
        <v>0</v>
      </c>
      <c r="M240" s="38">
        <f>L240*(1+BW240/100)</f>
        <v>0</v>
      </c>
      <c r="N240" s="38">
        <v>0</v>
      </c>
      <c r="O240" s="38">
        <f>G240*N240</f>
        <v>0</v>
      </c>
      <c r="P240" s="40" t="s">
        <v>59</v>
      </c>
      <c r="Z240" s="38">
        <f>ROUND(IF(AQ240="5",BJ240,0),2)</f>
        <v>0</v>
      </c>
      <c r="AB240" s="38">
        <f>ROUND(IF(AQ240="1",BH240,0),2)</f>
        <v>0</v>
      </c>
      <c r="AC240" s="38">
        <f>ROUND(IF(AQ240="1",BI240,0),2)</f>
        <v>0</v>
      </c>
      <c r="AD240" s="38">
        <f>ROUND(IF(AQ240="7",BH240,0),2)</f>
        <v>0</v>
      </c>
      <c r="AE240" s="38">
        <f>ROUND(IF(AQ240="7",BI240,0),2)</f>
        <v>0</v>
      </c>
      <c r="AF240" s="38">
        <f>ROUND(IF(AQ240="2",BH240,0),2)</f>
        <v>0</v>
      </c>
      <c r="AG240" s="38">
        <f>ROUND(IF(AQ240="2",BI240,0),2)</f>
        <v>0</v>
      </c>
      <c r="AH240" s="38">
        <f>ROUND(IF(AQ240="0",BJ240,0),2)</f>
        <v>0</v>
      </c>
      <c r="AI240" s="13" t="s">
        <v>51</v>
      </c>
      <c r="AJ240" s="38">
        <f>IF(AN240=0,L240,0)</f>
        <v>0</v>
      </c>
      <c r="AK240" s="38">
        <f>IF(AN240=12,L240,0)</f>
        <v>0</v>
      </c>
      <c r="AL240" s="38">
        <f>IF(AN240=21,L240,0)</f>
        <v>0</v>
      </c>
      <c r="AN240" s="38">
        <v>21</v>
      </c>
      <c r="AO240" s="38">
        <f>H240*0</f>
        <v>0</v>
      </c>
      <c r="AP240" s="38">
        <f>H240*(1-0)</f>
        <v>0</v>
      </c>
      <c r="AQ240" s="41" t="s">
        <v>77</v>
      </c>
      <c r="AV240" s="38">
        <f>ROUND(AW240+AX240,2)</f>
        <v>0</v>
      </c>
      <c r="AW240" s="38">
        <f>ROUND(G240*AO240,2)</f>
        <v>0</v>
      </c>
      <c r="AX240" s="38">
        <f>ROUND(G240*AP240,2)</f>
        <v>0</v>
      </c>
      <c r="AY240" s="41" t="s">
        <v>586</v>
      </c>
      <c r="AZ240" s="41" t="s">
        <v>562</v>
      </c>
      <c r="BA240" s="13" t="s">
        <v>62</v>
      </c>
      <c r="BC240" s="38">
        <f>AW240+AX240</f>
        <v>0</v>
      </c>
      <c r="BD240" s="38">
        <f>H240/(100-BE240)*100</f>
        <v>0</v>
      </c>
      <c r="BE240" s="38">
        <v>0</v>
      </c>
      <c r="BF240" s="38">
        <f>O240</f>
        <v>0</v>
      </c>
      <c r="BH240" s="38">
        <f>G240*AO240</f>
        <v>0</v>
      </c>
      <c r="BI240" s="38">
        <f>G240*AP240</f>
        <v>0</v>
      </c>
      <c r="BJ240" s="38">
        <f>G240*H240</f>
        <v>0</v>
      </c>
      <c r="BK240" s="38"/>
      <c r="BL240" s="38">
        <v>783</v>
      </c>
      <c r="BW240" s="38">
        <f>I240</f>
        <v>21</v>
      </c>
      <c r="BX240" s="5" t="s">
        <v>219</v>
      </c>
    </row>
    <row r="241" spans="1:76" x14ac:dyDescent="0.25">
      <c r="A241" s="33" t="s">
        <v>50</v>
      </c>
      <c r="B241" s="34" t="s">
        <v>51</v>
      </c>
      <c r="C241" s="34" t="s">
        <v>591</v>
      </c>
      <c r="D241" s="191" t="s">
        <v>592</v>
      </c>
      <c r="E241" s="192"/>
      <c r="F241" s="36" t="s">
        <v>4</v>
      </c>
      <c r="G241" s="36" t="s">
        <v>4</v>
      </c>
      <c r="H241" s="36" t="s">
        <v>4</v>
      </c>
      <c r="I241" s="36" t="s">
        <v>4</v>
      </c>
      <c r="J241" s="1">
        <f>SUM(J242:J245)</f>
        <v>0</v>
      </c>
      <c r="K241" s="1">
        <f>SUM(K242:K245)</f>
        <v>0</v>
      </c>
      <c r="L241" s="1">
        <f>SUM(L242:L245)</f>
        <v>0</v>
      </c>
      <c r="M241" s="1">
        <f>SUM(M242:M245)</f>
        <v>0</v>
      </c>
      <c r="N241" s="13" t="s">
        <v>50</v>
      </c>
      <c r="O241" s="1">
        <f>SUM(O242:O245)</f>
        <v>0.132423452</v>
      </c>
      <c r="P241" s="37" t="s">
        <v>50</v>
      </c>
      <c r="AI241" s="13" t="s">
        <v>51</v>
      </c>
      <c r="AS241" s="1">
        <f>SUM(AJ242:AJ245)</f>
        <v>0</v>
      </c>
      <c r="AT241" s="1">
        <f>SUM(AK242:AK245)</f>
        <v>0</v>
      </c>
      <c r="AU241" s="1">
        <f>SUM(AL242:AL245)</f>
        <v>0</v>
      </c>
    </row>
    <row r="242" spans="1:76" x14ac:dyDescent="0.25">
      <c r="A242" s="2" t="s">
        <v>593</v>
      </c>
      <c r="B242" s="3" t="s">
        <v>51</v>
      </c>
      <c r="C242" s="3" t="s">
        <v>594</v>
      </c>
      <c r="D242" s="113" t="s">
        <v>595</v>
      </c>
      <c r="E242" s="110"/>
      <c r="F242" s="3" t="s">
        <v>58</v>
      </c>
      <c r="G242" s="38">
        <v>154.6404</v>
      </c>
      <c r="H242" s="103"/>
      <c r="I242" s="39">
        <v>21</v>
      </c>
      <c r="J242" s="38">
        <f>ROUND(G242*AO242,2)</f>
        <v>0</v>
      </c>
      <c r="K242" s="38">
        <f>ROUND(G242*AP242,2)</f>
        <v>0</v>
      </c>
      <c r="L242" s="38">
        <f>ROUND(G242*H242,2)</f>
        <v>0</v>
      </c>
      <c r="M242" s="38">
        <f>L242*(1+BW242/100)</f>
        <v>0</v>
      </c>
      <c r="N242" s="38">
        <v>6.3000000000000003E-4</v>
      </c>
      <c r="O242" s="38">
        <f>G242*N242</f>
        <v>9.7423452000000008E-2</v>
      </c>
      <c r="P242" s="40" t="s">
        <v>59</v>
      </c>
      <c r="Z242" s="38">
        <f>ROUND(IF(AQ242="5",BJ242,0),2)</f>
        <v>0</v>
      </c>
      <c r="AB242" s="38">
        <f>ROUND(IF(AQ242="1",BH242,0),2)</f>
        <v>0</v>
      </c>
      <c r="AC242" s="38">
        <f>ROUND(IF(AQ242="1",BI242,0),2)</f>
        <v>0</v>
      </c>
      <c r="AD242" s="38">
        <f>ROUND(IF(AQ242="7",BH242,0),2)</f>
        <v>0</v>
      </c>
      <c r="AE242" s="38">
        <f>ROUND(IF(AQ242="7",BI242,0),2)</f>
        <v>0</v>
      </c>
      <c r="AF242" s="38">
        <f>ROUND(IF(AQ242="2",BH242,0),2)</f>
        <v>0</v>
      </c>
      <c r="AG242" s="38">
        <f>ROUND(IF(AQ242="2",BI242,0),2)</f>
        <v>0</v>
      </c>
      <c r="AH242" s="38">
        <f>ROUND(IF(AQ242="0",BJ242,0),2)</f>
        <v>0</v>
      </c>
      <c r="AI242" s="13" t="s">
        <v>51</v>
      </c>
      <c r="AJ242" s="38">
        <f>IF(AN242=0,L242,0)</f>
        <v>0</v>
      </c>
      <c r="AK242" s="38">
        <f>IF(AN242=12,L242,0)</f>
        <v>0</v>
      </c>
      <c r="AL242" s="38">
        <f>IF(AN242=21,L242,0)</f>
        <v>0</v>
      </c>
      <c r="AN242" s="38">
        <v>21</v>
      </c>
      <c r="AO242" s="38">
        <f>H242*0.23040354</f>
        <v>0</v>
      </c>
      <c r="AP242" s="38">
        <f>H242*(1-0.23040354)</f>
        <v>0</v>
      </c>
      <c r="AQ242" s="41" t="s">
        <v>84</v>
      </c>
      <c r="AV242" s="38">
        <f>ROUND(AW242+AX242,2)</f>
        <v>0</v>
      </c>
      <c r="AW242" s="38">
        <f>ROUND(G242*AO242,2)</f>
        <v>0</v>
      </c>
      <c r="AX242" s="38">
        <f>ROUND(G242*AP242,2)</f>
        <v>0</v>
      </c>
      <c r="AY242" s="41" t="s">
        <v>596</v>
      </c>
      <c r="AZ242" s="41" t="s">
        <v>562</v>
      </c>
      <c r="BA242" s="13" t="s">
        <v>62</v>
      </c>
      <c r="BC242" s="38">
        <f>AW242+AX242</f>
        <v>0</v>
      </c>
      <c r="BD242" s="38">
        <f>H242/(100-BE242)*100</f>
        <v>0</v>
      </c>
      <c r="BE242" s="38">
        <v>0</v>
      </c>
      <c r="BF242" s="38">
        <f>O242</f>
        <v>9.7423452000000008E-2</v>
      </c>
      <c r="BH242" s="38">
        <f>G242*AO242</f>
        <v>0</v>
      </c>
      <c r="BI242" s="38">
        <f>G242*AP242</f>
        <v>0</v>
      </c>
      <c r="BJ242" s="38">
        <f>G242*H242</f>
        <v>0</v>
      </c>
      <c r="BK242" s="38"/>
      <c r="BL242" s="38">
        <v>784</v>
      </c>
      <c r="BW242" s="38">
        <f>I242</f>
        <v>21</v>
      </c>
      <c r="BX242" s="5" t="s">
        <v>595</v>
      </c>
    </row>
    <row r="243" spans="1:76" x14ac:dyDescent="0.25">
      <c r="A243" s="2" t="s">
        <v>597</v>
      </c>
      <c r="B243" s="3" t="s">
        <v>51</v>
      </c>
      <c r="C243" s="3" t="s">
        <v>598</v>
      </c>
      <c r="D243" s="113" t="s">
        <v>599</v>
      </c>
      <c r="E243" s="110"/>
      <c r="F243" s="3" t="s">
        <v>58</v>
      </c>
      <c r="G243" s="38">
        <v>100</v>
      </c>
      <c r="H243" s="103"/>
      <c r="I243" s="39">
        <v>21</v>
      </c>
      <c r="J243" s="38">
        <f>ROUND(G243*AO243,2)</f>
        <v>0</v>
      </c>
      <c r="K243" s="38">
        <f>ROUND(G243*AP243,2)</f>
        <v>0</v>
      </c>
      <c r="L243" s="38">
        <f>ROUND(G243*H243,2)</f>
        <v>0</v>
      </c>
      <c r="M243" s="38">
        <f>L243*(1+BW243/100)</f>
        <v>0</v>
      </c>
      <c r="N243" s="38">
        <v>3.5E-4</v>
      </c>
      <c r="O243" s="38">
        <f>G243*N243</f>
        <v>3.4999999999999996E-2</v>
      </c>
      <c r="P243" s="40" t="s">
        <v>59</v>
      </c>
      <c r="Z243" s="38">
        <f>ROUND(IF(AQ243="5",BJ243,0),2)</f>
        <v>0</v>
      </c>
      <c r="AB243" s="38">
        <f>ROUND(IF(AQ243="1",BH243,0),2)</f>
        <v>0</v>
      </c>
      <c r="AC243" s="38">
        <f>ROUND(IF(AQ243="1",BI243,0),2)</f>
        <v>0</v>
      </c>
      <c r="AD243" s="38">
        <f>ROUND(IF(AQ243="7",BH243,0),2)</f>
        <v>0</v>
      </c>
      <c r="AE243" s="38">
        <f>ROUND(IF(AQ243="7",BI243,0),2)</f>
        <v>0</v>
      </c>
      <c r="AF243" s="38">
        <f>ROUND(IF(AQ243="2",BH243,0),2)</f>
        <v>0</v>
      </c>
      <c r="AG243" s="38">
        <f>ROUND(IF(AQ243="2",BI243,0),2)</f>
        <v>0</v>
      </c>
      <c r="AH243" s="38">
        <f>ROUND(IF(AQ243="0",BJ243,0),2)</f>
        <v>0</v>
      </c>
      <c r="AI243" s="13" t="s">
        <v>51</v>
      </c>
      <c r="AJ243" s="38">
        <f>IF(AN243=0,L243,0)</f>
        <v>0</v>
      </c>
      <c r="AK243" s="38">
        <f>IF(AN243=12,L243,0)</f>
        <v>0</v>
      </c>
      <c r="AL243" s="38">
        <f>IF(AN243=21,L243,0)</f>
        <v>0</v>
      </c>
      <c r="AN243" s="38">
        <v>21</v>
      </c>
      <c r="AO243" s="38">
        <f>H243*0.600480769</f>
        <v>0</v>
      </c>
      <c r="AP243" s="38">
        <f>H243*(1-0.600480769)</f>
        <v>0</v>
      </c>
      <c r="AQ243" s="41" t="s">
        <v>84</v>
      </c>
      <c r="AV243" s="38">
        <f>ROUND(AW243+AX243,2)</f>
        <v>0</v>
      </c>
      <c r="AW243" s="38">
        <f>ROUND(G243*AO243,2)</f>
        <v>0</v>
      </c>
      <c r="AX243" s="38">
        <f>ROUND(G243*AP243,2)</f>
        <v>0</v>
      </c>
      <c r="AY243" s="41" t="s">
        <v>596</v>
      </c>
      <c r="AZ243" s="41" t="s">
        <v>562</v>
      </c>
      <c r="BA243" s="13" t="s">
        <v>62</v>
      </c>
      <c r="BC243" s="38">
        <f>AW243+AX243</f>
        <v>0</v>
      </c>
      <c r="BD243" s="38">
        <f>H243/(100-BE243)*100</f>
        <v>0</v>
      </c>
      <c r="BE243" s="38">
        <v>0</v>
      </c>
      <c r="BF243" s="38">
        <f>O243</f>
        <v>3.4999999999999996E-2</v>
      </c>
      <c r="BH243" s="38">
        <f>G243*AO243</f>
        <v>0</v>
      </c>
      <c r="BI243" s="38">
        <f>G243*AP243</f>
        <v>0</v>
      </c>
      <c r="BJ243" s="38">
        <f>G243*H243</f>
        <v>0</v>
      </c>
      <c r="BK243" s="38"/>
      <c r="BL243" s="38">
        <v>784</v>
      </c>
      <c r="BW243" s="38">
        <f>I243</f>
        <v>21</v>
      </c>
      <c r="BX243" s="5" t="s">
        <v>599</v>
      </c>
    </row>
    <row r="244" spans="1:76" ht="13.5" customHeight="1" x14ac:dyDescent="0.25">
      <c r="A244" s="42"/>
      <c r="C244" s="43" t="s">
        <v>87</v>
      </c>
      <c r="D244" s="179" t="s">
        <v>600</v>
      </c>
      <c r="E244" s="180"/>
      <c r="F244" s="180"/>
      <c r="G244" s="180"/>
      <c r="H244" s="180"/>
      <c r="I244" s="180"/>
      <c r="J244" s="180"/>
      <c r="K244" s="180"/>
      <c r="L244" s="180"/>
      <c r="M244" s="180"/>
      <c r="N244" s="180"/>
      <c r="O244" s="180"/>
      <c r="P244" s="181"/>
    </row>
    <row r="245" spans="1:76" x14ac:dyDescent="0.25">
      <c r="A245" s="2" t="s">
        <v>601</v>
      </c>
      <c r="B245" s="3" t="s">
        <v>51</v>
      </c>
      <c r="C245" s="3" t="s">
        <v>218</v>
      </c>
      <c r="D245" s="113" t="s">
        <v>219</v>
      </c>
      <c r="E245" s="110"/>
      <c r="F245" s="3" t="s">
        <v>134</v>
      </c>
      <c r="G245" s="38">
        <v>0.13242000000000001</v>
      </c>
      <c r="H245" s="103"/>
      <c r="I245" s="39">
        <v>21</v>
      </c>
      <c r="J245" s="38">
        <f>ROUND(G245*AO245,2)</f>
        <v>0</v>
      </c>
      <c r="K245" s="38">
        <f>ROUND(G245*AP245,2)</f>
        <v>0</v>
      </c>
      <c r="L245" s="38">
        <f>ROUND(G245*H245,2)</f>
        <v>0</v>
      </c>
      <c r="M245" s="38">
        <f>L245*(1+BW245/100)</f>
        <v>0</v>
      </c>
      <c r="N245" s="38">
        <v>0</v>
      </c>
      <c r="O245" s="38">
        <f>G245*N245</f>
        <v>0</v>
      </c>
      <c r="P245" s="40" t="s">
        <v>59</v>
      </c>
      <c r="Z245" s="38">
        <f>ROUND(IF(AQ245="5",BJ245,0),2)</f>
        <v>0</v>
      </c>
      <c r="AB245" s="38">
        <f>ROUND(IF(AQ245="1",BH245,0),2)</f>
        <v>0</v>
      </c>
      <c r="AC245" s="38">
        <f>ROUND(IF(AQ245="1",BI245,0),2)</f>
        <v>0</v>
      </c>
      <c r="AD245" s="38">
        <f>ROUND(IF(AQ245="7",BH245,0),2)</f>
        <v>0</v>
      </c>
      <c r="AE245" s="38">
        <f>ROUND(IF(AQ245="7",BI245,0),2)</f>
        <v>0</v>
      </c>
      <c r="AF245" s="38">
        <f>ROUND(IF(AQ245="2",BH245,0),2)</f>
        <v>0</v>
      </c>
      <c r="AG245" s="38">
        <f>ROUND(IF(AQ245="2",BI245,0),2)</f>
        <v>0</v>
      </c>
      <c r="AH245" s="38">
        <f>ROUND(IF(AQ245="0",BJ245,0),2)</f>
        <v>0</v>
      </c>
      <c r="AI245" s="13" t="s">
        <v>51</v>
      </c>
      <c r="AJ245" s="38">
        <f>IF(AN245=0,L245,0)</f>
        <v>0</v>
      </c>
      <c r="AK245" s="38">
        <f>IF(AN245=12,L245,0)</f>
        <v>0</v>
      </c>
      <c r="AL245" s="38">
        <f>IF(AN245=21,L245,0)</f>
        <v>0</v>
      </c>
      <c r="AN245" s="38">
        <v>21</v>
      </c>
      <c r="AO245" s="38">
        <f>H245*0</f>
        <v>0</v>
      </c>
      <c r="AP245" s="38">
        <f>H245*(1-0)</f>
        <v>0</v>
      </c>
      <c r="AQ245" s="41" t="s">
        <v>77</v>
      </c>
      <c r="AV245" s="38">
        <f>ROUND(AW245+AX245,2)</f>
        <v>0</v>
      </c>
      <c r="AW245" s="38">
        <f>ROUND(G245*AO245,2)</f>
        <v>0</v>
      </c>
      <c r="AX245" s="38">
        <f>ROUND(G245*AP245,2)</f>
        <v>0</v>
      </c>
      <c r="AY245" s="41" t="s">
        <v>596</v>
      </c>
      <c r="AZ245" s="41" t="s">
        <v>562</v>
      </c>
      <c r="BA245" s="13" t="s">
        <v>62</v>
      </c>
      <c r="BC245" s="38">
        <f>AW245+AX245</f>
        <v>0</v>
      </c>
      <c r="BD245" s="38">
        <f>H245/(100-BE245)*100</f>
        <v>0</v>
      </c>
      <c r="BE245" s="38">
        <v>0</v>
      </c>
      <c r="BF245" s="38">
        <f>O245</f>
        <v>0</v>
      </c>
      <c r="BH245" s="38">
        <f>G245*AO245</f>
        <v>0</v>
      </c>
      <c r="BI245" s="38">
        <f>G245*AP245</f>
        <v>0</v>
      </c>
      <c r="BJ245" s="38">
        <f>G245*H245</f>
        <v>0</v>
      </c>
      <c r="BK245" s="38"/>
      <c r="BL245" s="38">
        <v>784</v>
      </c>
      <c r="BW245" s="38">
        <f>I245</f>
        <v>21</v>
      </c>
      <c r="BX245" s="5" t="s">
        <v>219</v>
      </c>
    </row>
    <row r="246" spans="1:76" x14ac:dyDescent="0.25">
      <c r="A246" s="33" t="s">
        <v>50</v>
      </c>
      <c r="B246" s="34" t="s">
        <v>51</v>
      </c>
      <c r="C246" s="34" t="s">
        <v>406</v>
      </c>
      <c r="D246" s="191" t="s">
        <v>602</v>
      </c>
      <c r="E246" s="192"/>
      <c r="F246" s="36" t="s">
        <v>4</v>
      </c>
      <c r="G246" s="36" t="s">
        <v>4</v>
      </c>
      <c r="H246" s="36" t="s">
        <v>4</v>
      </c>
      <c r="I246" s="36" t="s">
        <v>4</v>
      </c>
      <c r="J246" s="1">
        <f>SUM(J247:J247)</f>
        <v>0</v>
      </c>
      <c r="K246" s="1">
        <f>SUM(K247:K247)</f>
        <v>0</v>
      </c>
      <c r="L246" s="1">
        <f>SUM(L247:L247)</f>
        <v>0</v>
      </c>
      <c r="M246" s="1">
        <f>SUM(M247:M247)</f>
        <v>0</v>
      </c>
      <c r="N246" s="13" t="s">
        <v>50</v>
      </c>
      <c r="O246" s="1">
        <f>SUM(O247:O247)</f>
        <v>5.0953099999999994E-2</v>
      </c>
      <c r="P246" s="37" t="s">
        <v>50</v>
      </c>
      <c r="AI246" s="13" t="s">
        <v>51</v>
      </c>
      <c r="AS246" s="1">
        <f>SUM(AJ247:AJ247)</f>
        <v>0</v>
      </c>
      <c r="AT246" s="1">
        <f>SUM(AK247:AK247)</f>
        <v>0</v>
      </c>
      <c r="AU246" s="1">
        <f>SUM(AL247:AL247)</f>
        <v>0</v>
      </c>
    </row>
    <row r="247" spans="1:76" x14ac:dyDescent="0.25">
      <c r="A247" s="45" t="s">
        <v>603</v>
      </c>
      <c r="B247" s="46" t="s">
        <v>51</v>
      </c>
      <c r="C247" s="46" t="s">
        <v>604</v>
      </c>
      <c r="D247" s="195" t="s">
        <v>605</v>
      </c>
      <c r="E247" s="120"/>
      <c r="F247" s="46" t="s">
        <v>58</v>
      </c>
      <c r="G247" s="48">
        <v>42.11</v>
      </c>
      <c r="H247" s="104"/>
      <c r="I247" s="49">
        <v>21</v>
      </c>
      <c r="J247" s="48">
        <f>ROUND(G247*AO247,2)</f>
        <v>0</v>
      </c>
      <c r="K247" s="48">
        <f>ROUND(G247*AP247,2)</f>
        <v>0</v>
      </c>
      <c r="L247" s="48">
        <f>ROUND(G247*H247,2)</f>
        <v>0</v>
      </c>
      <c r="M247" s="48">
        <f>L247*(1+BW247/100)</f>
        <v>0</v>
      </c>
      <c r="N247" s="48">
        <v>1.2099999999999999E-3</v>
      </c>
      <c r="O247" s="48">
        <f>G247*N247</f>
        <v>5.0953099999999994E-2</v>
      </c>
      <c r="P247" s="50" t="s">
        <v>59</v>
      </c>
      <c r="Z247" s="38">
        <f>ROUND(IF(AQ247="5",BJ247,0),2)</f>
        <v>0</v>
      </c>
      <c r="AB247" s="38">
        <f>ROUND(IF(AQ247="1",BH247,0),2)</f>
        <v>0</v>
      </c>
      <c r="AC247" s="38">
        <f>ROUND(IF(AQ247="1",BI247,0),2)</f>
        <v>0</v>
      </c>
      <c r="AD247" s="38">
        <f>ROUND(IF(AQ247="7",BH247,0),2)</f>
        <v>0</v>
      </c>
      <c r="AE247" s="38">
        <f>ROUND(IF(AQ247="7",BI247,0),2)</f>
        <v>0</v>
      </c>
      <c r="AF247" s="38">
        <f>ROUND(IF(AQ247="2",BH247,0),2)</f>
        <v>0</v>
      </c>
      <c r="AG247" s="38">
        <f>ROUND(IF(AQ247="2",BI247,0),2)</f>
        <v>0</v>
      </c>
      <c r="AH247" s="38">
        <f>ROUND(IF(AQ247="0",BJ247,0),2)</f>
        <v>0</v>
      </c>
      <c r="AI247" s="13" t="s">
        <v>51</v>
      </c>
      <c r="AJ247" s="38">
        <f>IF(AN247=0,L247,0)</f>
        <v>0</v>
      </c>
      <c r="AK247" s="38">
        <f>IF(AN247=12,L247,0)</f>
        <v>0</v>
      </c>
      <c r="AL247" s="38">
        <f>IF(AN247=21,L247,0)</f>
        <v>0</v>
      </c>
      <c r="AN247" s="38">
        <v>21</v>
      </c>
      <c r="AO247" s="38">
        <f>H247*0.32618696</f>
        <v>0</v>
      </c>
      <c r="AP247" s="38">
        <f>H247*(1-0.32618696)</f>
        <v>0</v>
      </c>
      <c r="AQ247" s="41" t="s">
        <v>55</v>
      </c>
      <c r="AV247" s="38">
        <f>ROUND(AW247+AX247,2)</f>
        <v>0</v>
      </c>
      <c r="AW247" s="38">
        <f>ROUND(G247*AO247,2)</f>
        <v>0</v>
      </c>
      <c r="AX247" s="38">
        <f>ROUND(G247*AP247,2)</f>
        <v>0</v>
      </c>
      <c r="AY247" s="41" t="s">
        <v>606</v>
      </c>
      <c r="AZ247" s="41" t="s">
        <v>61</v>
      </c>
      <c r="BA247" s="13" t="s">
        <v>62</v>
      </c>
      <c r="BC247" s="38">
        <f>AW247+AX247</f>
        <v>0</v>
      </c>
      <c r="BD247" s="38">
        <f>H247/(100-BE247)*100</f>
        <v>0</v>
      </c>
      <c r="BE247" s="38">
        <v>0</v>
      </c>
      <c r="BF247" s="38">
        <f>O247</f>
        <v>5.0953099999999994E-2</v>
      </c>
      <c r="BH247" s="38">
        <f>G247*AO247</f>
        <v>0</v>
      </c>
      <c r="BI247" s="38">
        <f>G247*AP247</f>
        <v>0</v>
      </c>
      <c r="BJ247" s="38">
        <f>G247*H247</f>
        <v>0</v>
      </c>
      <c r="BK247" s="38"/>
      <c r="BL247" s="38">
        <v>94</v>
      </c>
      <c r="BW247" s="38">
        <f>I247</f>
        <v>21</v>
      </c>
      <c r="BX247" s="5" t="s">
        <v>605</v>
      </c>
    </row>
    <row r="248" spans="1:76" x14ac:dyDescent="0.25">
      <c r="J248" s="196" t="s">
        <v>607</v>
      </c>
      <c r="K248" s="196"/>
      <c r="L248" s="52">
        <f>ROUND(L13+L52+L67+L69+L79+L85+L93+L98+L105+L117+L130+L171+L174+L176+L190+L218+L224+L227+L237+L241+L246,2)</f>
        <v>0</v>
      </c>
      <c r="M248" s="52">
        <f>ROUND(M13+M52+M67+M69+M79+M85+M93+M98+M105+M117+M130+M171+M174+M176+M190+M218+M224+M227+M237+M241+M246,2)</f>
        <v>0</v>
      </c>
    </row>
    <row r="249" spans="1:76" x14ac:dyDescent="0.25">
      <c r="A249" s="53" t="s">
        <v>608</v>
      </c>
    </row>
    <row r="250" spans="1:76" ht="12.75" customHeight="1" x14ac:dyDescent="0.25">
      <c r="A250" s="113" t="s">
        <v>50</v>
      </c>
      <c r="B250" s="110"/>
      <c r="C250" s="110"/>
      <c r="D250" s="110"/>
      <c r="E250" s="110"/>
      <c r="F250" s="110"/>
      <c r="G250" s="110"/>
      <c r="H250" s="110"/>
      <c r="I250" s="110"/>
      <c r="J250" s="110"/>
      <c r="K250" s="110"/>
      <c r="L250" s="110"/>
      <c r="M250" s="110"/>
      <c r="N250" s="110"/>
      <c r="O250" s="110"/>
      <c r="P250" s="110"/>
    </row>
  </sheetData>
  <mergeCells count="267">
    <mergeCell ref="A250:P250"/>
    <mergeCell ref="D244:P244"/>
    <mergeCell ref="D245:E245"/>
    <mergeCell ref="D246:E246"/>
    <mergeCell ref="D247:E247"/>
    <mergeCell ref="J248:K248"/>
    <mergeCell ref="D239:E239"/>
    <mergeCell ref="D240:E240"/>
    <mergeCell ref="D241:E241"/>
    <mergeCell ref="D242:E242"/>
    <mergeCell ref="D243:E243"/>
    <mergeCell ref="D234:E234"/>
    <mergeCell ref="D235:P235"/>
    <mergeCell ref="D236:E236"/>
    <mergeCell ref="D237:E237"/>
    <mergeCell ref="D238:E238"/>
    <mergeCell ref="D229:P229"/>
    <mergeCell ref="D230:E230"/>
    <mergeCell ref="D231:E231"/>
    <mergeCell ref="D232:E232"/>
    <mergeCell ref="D233:P233"/>
    <mergeCell ref="D224:E224"/>
    <mergeCell ref="D225:E225"/>
    <mergeCell ref="D226:P226"/>
    <mergeCell ref="D227:E227"/>
    <mergeCell ref="D228:E228"/>
    <mergeCell ref="D219:E219"/>
    <mergeCell ref="D220:P220"/>
    <mergeCell ref="D221:E221"/>
    <mergeCell ref="D222:E222"/>
    <mergeCell ref="D223:E223"/>
    <mergeCell ref="D214:E214"/>
    <mergeCell ref="D215:E215"/>
    <mergeCell ref="D216:E216"/>
    <mergeCell ref="D217:E217"/>
    <mergeCell ref="D218:E218"/>
    <mergeCell ref="D209:P209"/>
    <mergeCell ref="D210:E210"/>
    <mergeCell ref="D211:P211"/>
    <mergeCell ref="D212:E212"/>
    <mergeCell ref="D213:P213"/>
    <mergeCell ref="D204:P204"/>
    <mergeCell ref="D205:E205"/>
    <mergeCell ref="D206:E206"/>
    <mergeCell ref="D207:P207"/>
    <mergeCell ref="D208:E208"/>
    <mergeCell ref="D199:E199"/>
    <mergeCell ref="D200:P200"/>
    <mergeCell ref="D201:E201"/>
    <mergeCell ref="D202:P202"/>
    <mergeCell ref="D203:E203"/>
    <mergeCell ref="D194:P194"/>
    <mergeCell ref="D195:E195"/>
    <mergeCell ref="D196:P196"/>
    <mergeCell ref="D197:E197"/>
    <mergeCell ref="D198:P198"/>
    <mergeCell ref="D189:E189"/>
    <mergeCell ref="D190:E190"/>
    <mergeCell ref="D191:E191"/>
    <mergeCell ref="D192:P192"/>
    <mergeCell ref="D193:E193"/>
    <mergeCell ref="D184:E184"/>
    <mergeCell ref="D185:P185"/>
    <mergeCell ref="D186:E186"/>
    <mergeCell ref="D187:E187"/>
    <mergeCell ref="D188:P188"/>
    <mergeCell ref="D179:E179"/>
    <mergeCell ref="D180:P180"/>
    <mergeCell ref="D181:E181"/>
    <mergeCell ref="D182:E182"/>
    <mergeCell ref="D183:P183"/>
    <mergeCell ref="D174:E174"/>
    <mergeCell ref="D175:E175"/>
    <mergeCell ref="D176:E176"/>
    <mergeCell ref="D177:E177"/>
    <mergeCell ref="D178:P178"/>
    <mergeCell ref="D169:E169"/>
    <mergeCell ref="D170:P170"/>
    <mergeCell ref="D171:E171"/>
    <mergeCell ref="D172:E172"/>
    <mergeCell ref="D173:P173"/>
    <mergeCell ref="D164:E164"/>
    <mergeCell ref="D165:P165"/>
    <mergeCell ref="D166:E166"/>
    <mergeCell ref="D167:E167"/>
    <mergeCell ref="D168:P168"/>
    <mergeCell ref="D159:E159"/>
    <mergeCell ref="D160:P160"/>
    <mergeCell ref="D161:E161"/>
    <mergeCell ref="D162:E162"/>
    <mergeCell ref="D163:E163"/>
    <mergeCell ref="D154:P154"/>
    <mergeCell ref="D155:E155"/>
    <mergeCell ref="D156:E156"/>
    <mergeCell ref="D157:P157"/>
    <mergeCell ref="D158:E158"/>
    <mergeCell ref="D149:E149"/>
    <mergeCell ref="D150:P150"/>
    <mergeCell ref="D151:E151"/>
    <mergeCell ref="D152:P152"/>
    <mergeCell ref="D153:E153"/>
    <mergeCell ref="D144:P144"/>
    <mergeCell ref="D145:E145"/>
    <mergeCell ref="D146:E146"/>
    <mergeCell ref="D147:P147"/>
    <mergeCell ref="D148:E148"/>
    <mergeCell ref="D139:E139"/>
    <mergeCell ref="D140:P140"/>
    <mergeCell ref="D141:E141"/>
    <mergeCell ref="D142:E142"/>
    <mergeCell ref="D143:E143"/>
    <mergeCell ref="D134:P134"/>
    <mergeCell ref="D135:E135"/>
    <mergeCell ref="D136:P136"/>
    <mergeCell ref="D137:E137"/>
    <mergeCell ref="D138:P138"/>
    <mergeCell ref="D129:E129"/>
    <mergeCell ref="D130:E130"/>
    <mergeCell ref="D131:E131"/>
    <mergeCell ref="D132:P132"/>
    <mergeCell ref="D133:E133"/>
    <mergeCell ref="D124:E124"/>
    <mergeCell ref="D125:E125"/>
    <mergeCell ref="D126:E126"/>
    <mergeCell ref="D127:P127"/>
    <mergeCell ref="D128:E128"/>
    <mergeCell ref="D119:E119"/>
    <mergeCell ref="D120:E120"/>
    <mergeCell ref="D121:P121"/>
    <mergeCell ref="D122:P122"/>
    <mergeCell ref="D123:E123"/>
    <mergeCell ref="D114:E114"/>
    <mergeCell ref="D115:P115"/>
    <mergeCell ref="D116:E116"/>
    <mergeCell ref="D117:E117"/>
    <mergeCell ref="D118:E118"/>
    <mergeCell ref="D109:E109"/>
    <mergeCell ref="D110:E110"/>
    <mergeCell ref="D111:E111"/>
    <mergeCell ref="D112:E112"/>
    <mergeCell ref="D113:P113"/>
    <mergeCell ref="D104:E104"/>
    <mergeCell ref="D105:E105"/>
    <mergeCell ref="D106:E106"/>
    <mergeCell ref="D107:E107"/>
    <mergeCell ref="D108:E108"/>
    <mergeCell ref="D99:E99"/>
    <mergeCell ref="D100:P100"/>
    <mergeCell ref="D101:E101"/>
    <mergeCell ref="D102:P102"/>
    <mergeCell ref="D103:P103"/>
    <mergeCell ref="D94:E94"/>
    <mergeCell ref="D95:P95"/>
    <mergeCell ref="D96:E96"/>
    <mergeCell ref="D97:E97"/>
    <mergeCell ref="D98:E98"/>
    <mergeCell ref="D89:E89"/>
    <mergeCell ref="D90:P90"/>
    <mergeCell ref="D91:P91"/>
    <mergeCell ref="D92:E92"/>
    <mergeCell ref="D93:E93"/>
    <mergeCell ref="D84:E84"/>
    <mergeCell ref="D85:E85"/>
    <mergeCell ref="D86:E86"/>
    <mergeCell ref="D87:P87"/>
    <mergeCell ref="D88:P88"/>
    <mergeCell ref="D79:E79"/>
    <mergeCell ref="D80:E80"/>
    <mergeCell ref="D81:P81"/>
    <mergeCell ref="D82:E82"/>
    <mergeCell ref="D83:P83"/>
    <mergeCell ref="D74:E74"/>
    <mergeCell ref="D75:P75"/>
    <mergeCell ref="D76:E76"/>
    <mergeCell ref="D77:P77"/>
    <mergeCell ref="D78:E78"/>
    <mergeCell ref="D69:E69"/>
    <mergeCell ref="D70:E70"/>
    <mergeCell ref="D71:P71"/>
    <mergeCell ref="D72:E72"/>
    <mergeCell ref="D73:P73"/>
    <mergeCell ref="D64:P64"/>
    <mergeCell ref="D65:E65"/>
    <mergeCell ref="D66:P66"/>
    <mergeCell ref="D67:E67"/>
    <mergeCell ref="D68:E68"/>
    <mergeCell ref="D59:E59"/>
    <mergeCell ref="D60:P60"/>
    <mergeCell ref="D61:E61"/>
    <mergeCell ref="D62:P62"/>
    <mergeCell ref="D63:E63"/>
    <mergeCell ref="D54:P54"/>
    <mergeCell ref="D55:E55"/>
    <mergeCell ref="D56:P56"/>
    <mergeCell ref="D57:E57"/>
    <mergeCell ref="D58:P58"/>
    <mergeCell ref="D49:E49"/>
    <mergeCell ref="D50:E50"/>
    <mergeCell ref="D51:E51"/>
    <mergeCell ref="D52:E52"/>
    <mergeCell ref="D53:E53"/>
    <mergeCell ref="D44:E44"/>
    <mergeCell ref="D45:E45"/>
    <mergeCell ref="D46:E46"/>
    <mergeCell ref="D47:E47"/>
    <mergeCell ref="D48:E48"/>
    <mergeCell ref="D39:E39"/>
    <mergeCell ref="D40:E40"/>
    <mergeCell ref="D41:E41"/>
    <mergeCell ref="D42:E42"/>
    <mergeCell ref="D43:E43"/>
    <mergeCell ref="D35:E35"/>
    <mergeCell ref="D36:E36"/>
    <mergeCell ref="D37:E37"/>
    <mergeCell ref="D38:E38"/>
    <mergeCell ref="D29:P29"/>
    <mergeCell ref="D30:E30"/>
    <mergeCell ref="D31:E31"/>
    <mergeCell ref="D32:E32"/>
    <mergeCell ref="D33:P33"/>
    <mergeCell ref="D26:P26"/>
    <mergeCell ref="D27:E27"/>
    <mergeCell ref="D28:E28"/>
    <mergeCell ref="D19:E19"/>
    <mergeCell ref="D20:P20"/>
    <mergeCell ref="D21:E21"/>
    <mergeCell ref="D22:E22"/>
    <mergeCell ref="D23:P23"/>
    <mergeCell ref="D34:E34"/>
    <mergeCell ref="D17:E17"/>
    <mergeCell ref="D18:P18"/>
    <mergeCell ref="D11:E11"/>
    <mergeCell ref="J10:L10"/>
    <mergeCell ref="N10:O10"/>
    <mergeCell ref="D12:E12"/>
    <mergeCell ref="D13:E13"/>
    <mergeCell ref="D24:E24"/>
    <mergeCell ref="D25:P25"/>
    <mergeCell ref="D10:E10"/>
    <mergeCell ref="D14:E14"/>
    <mergeCell ref="D15:E15"/>
    <mergeCell ref="D16:P16"/>
    <mergeCell ref="A1:P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  <mergeCell ref="J2:P3"/>
    <mergeCell ref="J4:P5"/>
    <mergeCell ref="J6:P7"/>
    <mergeCell ref="J8:P9"/>
    <mergeCell ref="D8:E9"/>
    <mergeCell ref="H2:H3"/>
    <mergeCell ref="H4:H5"/>
    <mergeCell ref="H6:H7"/>
    <mergeCell ref="H8:H9"/>
  </mergeCells>
  <pageMargins left="0.393999993801117" right="0.393999993801117" top="0.59100002050399802" bottom="0.59100002050399802" header="0" footer="0"/>
  <pageSetup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T218"/>
  <sheetViews>
    <sheetView topLeftCell="A158" workbookViewId="0">
      <selection activeCell="D170" sqref="D170"/>
    </sheetView>
  </sheetViews>
  <sheetFormatPr defaultColWidth="12.140625" defaultRowHeight="15" customHeight="1" x14ac:dyDescent="0.25"/>
  <cols>
    <col min="1" max="1" width="4.28515625" customWidth="1"/>
    <col min="2" max="2" width="7.85546875" customWidth="1"/>
    <col min="3" max="3" width="17.140625" customWidth="1"/>
    <col min="4" max="4" width="71.42578125" customWidth="1"/>
    <col min="5" max="5" width="15.7109375" customWidth="1"/>
    <col min="6" max="6" width="77.7109375" customWidth="1"/>
    <col min="7" max="7" width="12.85546875" customWidth="1"/>
    <col min="8" max="11" width="22.85546875" customWidth="1"/>
    <col min="12" max="12" width="23.5703125" customWidth="1"/>
    <col min="13" max="13" width="22.140625" customWidth="1"/>
    <col min="230" max="231" width="12.140625" hidden="1"/>
    <col min="251" max="254" width="12.140625" hidden="1"/>
  </cols>
  <sheetData>
    <row r="1" spans="1:253" ht="54.75" customHeight="1" x14ac:dyDescent="0.25">
      <c r="A1" s="106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</row>
    <row r="2" spans="1:253" x14ac:dyDescent="0.25">
      <c r="A2" s="107" t="s">
        <v>1</v>
      </c>
      <c r="B2" s="108"/>
      <c r="C2" s="108"/>
      <c r="D2" s="117" t="str">
        <f>'Stavební rozpočet'!D2</f>
        <v>KD K-trio-Oprava sociálních zařízení a šaten</v>
      </c>
      <c r="E2" s="108" t="s">
        <v>3</v>
      </c>
      <c r="F2" s="112" t="str">
        <f>'Stavební rozpočet'!H2</f>
        <v xml:space="preserve"> </v>
      </c>
      <c r="G2" s="112" t="s">
        <v>5</v>
      </c>
      <c r="H2" s="112" t="str">
        <f>'Stavební rozpočet'!J2</f>
        <v> </v>
      </c>
      <c r="I2" s="108"/>
      <c r="J2" s="108"/>
      <c r="K2" s="108"/>
      <c r="L2" s="108"/>
      <c r="M2" s="114"/>
    </row>
    <row r="3" spans="1:253" ht="15" customHeight="1" x14ac:dyDescent="0.25">
      <c r="A3" s="109"/>
      <c r="B3" s="110"/>
      <c r="C3" s="110"/>
      <c r="D3" s="119"/>
      <c r="E3" s="110"/>
      <c r="F3" s="110"/>
      <c r="G3" s="110"/>
      <c r="H3" s="110"/>
      <c r="I3" s="110"/>
      <c r="J3" s="110"/>
      <c r="K3" s="110"/>
      <c r="L3" s="110"/>
      <c r="M3" s="115"/>
    </row>
    <row r="4" spans="1:253" x14ac:dyDescent="0.25">
      <c r="A4" s="111" t="s">
        <v>7</v>
      </c>
      <c r="B4" s="110"/>
      <c r="C4" s="110"/>
      <c r="D4" s="113" t="str">
        <f>'Stavební rozpočet'!D4</f>
        <v xml:space="preserve"> </v>
      </c>
      <c r="E4" s="110" t="s">
        <v>8</v>
      </c>
      <c r="F4" s="113"/>
      <c r="G4" s="113" t="s">
        <v>9</v>
      </c>
      <c r="H4" s="113" t="str">
        <f>'Stavební rozpočet'!J4</f>
        <v> </v>
      </c>
      <c r="I4" s="110"/>
      <c r="J4" s="110"/>
      <c r="K4" s="110"/>
      <c r="L4" s="110"/>
      <c r="M4" s="115"/>
    </row>
    <row r="5" spans="1:253" ht="15" customHeight="1" x14ac:dyDescent="0.25">
      <c r="A5" s="109"/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5"/>
    </row>
    <row r="6" spans="1:253" x14ac:dyDescent="0.25">
      <c r="A6" s="111" t="s">
        <v>10</v>
      </c>
      <c r="B6" s="110"/>
      <c r="C6" s="110"/>
      <c r="D6" s="113" t="str">
        <f>'Stavební rozpočet'!D6</f>
        <v xml:space="preserve"> </v>
      </c>
      <c r="E6" s="110" t="s">
        <v>11</v>
      </c>
      <c r="F6" s="113" t="str">
        <f>'Stavební rozpočet'!H6</f>
        <v xml:space="preserve"> </v>
      </c>
      <c r="G6" s="113" t="s">
        <v>12</v>
      </c>
      <c r="H6" s="113" t="str">
        <f>'Stavební rozpočet'!J6</f>
        <v> </v>
      </c>
      <c r="I6" s="110"/>
      <c r="J6" s="110"/>
      <c r="K6" s="110"/>
      <c r="L6" s="110"/>
      <c r="M6" s="115"/>
    </row>
    <row r="7" spans="1:253" ht="15" customHeight="1" x14ac:dyDescent="0.25">
      <c r="A7" s="109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5"/>
    </row>
    <row r="8" spans="1:253" x14ac:dyDescent="0.25">
      <c r="A8" s="111" t="s">
        <v>13</v>
      </c>
      <c r="B8" s="110"/>
      <c r="C8" s="110"/>
      <c r="D8" s="113" t="str">
        <f>'Stavební rozpočet'!D8</f>
        <v xml:space="preserve"> </v>
      </c>
      <c r="E8" s="110" t="s">
        <v>14</v>
      </c>
      <c r="F8" s="113">
        <f>'Stavební rozpočet'!H8</f>
        <v>0</v>
      </c>
      <c r="G8" s="113" t="s">
        <v>15</v>
      </c>
      <c r="H8" s="113" t="str">
        <f>'Stavební rozpočet'!J8</f>
        <v> </v>
      </c>
      <c r="I8" s="110"/>
      <c r="J8" s="110"/>
      <c r="K8" s="110"/>
      <c r="L8" s="110"/>
      <c r="M8" s="115"/>
    </row>
    <row r="9" spans="1:253" x14ac:dyDescent="0.25">
      <c r="A9" s="126"/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2"/>
    </row>
    <row r="10" spans="1:253" x14ac:dyDescent="0.25">
      <c r="A10" s="54" t="s">
        <v>16</v>
      </c>
      <c r="B10" s="54" t="s">
        <v>17</v>
      </c>
      <c r="C10" s="54" t="s">
        <v>18</v>
      </c>
      <c r="D10" s="54" t="s">
        <v>19</v>
      </c>
      <c r="E10" s="54" t="s">
        <v>20</v>
      </c>
      <c r="F10" s="54" t="s">
        <v>30</v>
      </c>
      <c r="G10" s="54" t="s">
        <v>21</v>
      </c>
      <c r="H10" s="54" t="s">
        <v>609</v>
      </c>
      <c r="I10" s="54" t="s">
        <v>610</v>
      </c>
      <c r="J10" s="54" t="s">
        <v>611</v>
      </c>
      <c r="K10" s="54" t="s">
        <v>612</v>
      </c>
      <c r="L10" s="54" t="s">
        <v>613</v>
      </c>
      <c r="M10" s="55" t="s">
        <v>614</v>
      </c>
      <c r="HV10" s="56" t="s">
        <v>28</v>
      </c>
      <c r="HW10" s="56" t="s">
        <v>27</v>
      </c>
    </row>
    <row r="11" spans="1:253" x14ac:dyDescent="0.25">
      <c r="A11" s="57" t="s">
        <v>4</v>
      </c>
      <c r="B11" s="27" t="s">
        <v>51</v>
      </c>
      <c r="C11" s="27" t="s">
        <v>50</v>
      </c>
      <c r="D11" s="28" t="s">
        <v>52</v>
      </c>
      <c r="E11" s="27" t="s">
        <v>4</v>
      </c>
      <c r="F11" s="27" t="s">
        <v>4</v>
      </c>
      <c r="G11" s="31" t="s">
        <v>4</v>
      </c>
      <c r="H11" s="31" t="s">
        <v>4</v>
      </c>
      <c r="I11" s="30">
        <f>I12+I53+I61+I63+I69+I76+I85+I91+I101+I112+I125+I152+I154+I156+I165+I182+I189+I192+I203+I207+I215</f>
        <v>0</v>
      </c>
      <c r="J11" s="30">
        <f>J12+J53+J61+J63+J69+J76+J85+J91+J101+J112+J125+J152+J154+J156+J165+J182+J189+J192+J203+J207+J215</f>
        <v>0</v>
      </c>
      <c r="K11" s="30">
        <f>K12+K53+K61+K63+K69+K76+K85+K91+K101+K112+K125+K152+K154+K156+K165+K182+K189+K192+K203+K207+K215</f>
        <v>0</v>
      </c>
      <c r="L11" s="31" t="s">
        <v>4</v>
      </c>
      <c r="M11" s="58">
        <f>M12+M53+M61+M63+M69+M76+M85+M91+M101+M112+M125+M152+M154+M156+M165+M182+M189+M192+M203+M207+M215</f>
        <v>14.643239010999999</v>
      </c>
    </row>
    <row r="12" spans="1:253" x14ac:dyDescent="0.25">
      <c r="A12" s="59" t="s">
        <v>4</v>
      </c>
      <c r="B12" s="34" t="s">
        <v>51</v>
      </c>
      <c r="C12" s="34" t="s">
        <v>53</v>
      </c>
      <c r="D12" s="35" t="s">
        <v>54</v>
      </c>
      <c r="E12" s="34" t="s">
        <v>4</v>
      </c>
      <c r="F12" s="34" t="s">
        <v>4</v>
      </c>
      <c r="G12" s="13" t="s">
        <v>4</v>
      </c>
      <c r="H12" s="13" t="s">
        <v>4</v>
      </c>
      <c r="I12" s="1">
        <f>SUM(I13:I52)</f>
        <v>0</v>
      </c>
      <c r="J12" s="1">
        <f>SUM(J13:J52)</f>
        <v>0</v>
      </c>
      <c r="K12" s="1">
        <f>SUM(K13:K52)</f>
        <v>0</v>
      </c>
      <c r="L12" s="13" t="s">
        <v>4</v>
      </c>
      <c r="M12" s="60">
        <f>SUM(M13:M52)</f>
        <v>8.0897805550000008</v>
      </c>
    </row>
    <row r="13" spans="1:253" x14ac:dyDescent="0.25">
      <c r="A13" s="61">
        <v>1</v>
      </c>
      <c r="B13" s="3" t="s">
        <v>51</v>
      </c>
      <c r="C13" s="3" t="s">
        <v>56</v>
      </c>
      <c r="D13" s="5" t="s">
        <v>57</v>
      </c>
      <c r="E13" s="3" t="s">
        <v>58</v>
      </c>
      <c r="F13" s="3" t="s">
        <v>615</v>
      </c>
      <c r="G13" s="38">
        <f>'Stavební rozpočet'!G14</f>
        <v>39.027999999999999</v>
      </c>
      <c r="H13" s="38">
        <f>'Stavební rozpočet'!H14</f>
        <v>0</v>
      </c>
      <c r="I13" s="38">
        <f t="shared" ref="I13:I18" si="0">ROUND(IR13*G13,2)</f>
        <v>0</v>
      </c>
      <c r="J13" s="38">
        <f t="shared" ref="J13:J18" si="1">ROUND(IS13*G13,2)</f>
        <v>0</v>
      </c>
      <c r="K13" s="38">
        <f t="shared" ref="K13:K18" si="2">ROUND(IR13*G13+IS13*G13,2)</f>
        <v>0</v>
      </c>
      <c r="L13" s="38">
        <f>'Stavební rozpočet'!N14</f>
        <v>3.5000000000000001E-3</v>
      </c>
      <c r="M13" s="62">
        <f t="shared" ref="M13:M18" si="3">L13*G13</f>
        <v>0.136598</v>
      </c>
      <c r="HV13" s="3" t="s">
        <v>53</v>
      </c>
      <c r="HW13" s="3" t="s">
        <v>616</v>
      </c>
      <c r="IR13" s="63">
        <f>H13*0</f>
        <v>0</v>
      </c>
      <c r="IS13" s="63">
        <f>H13*(1-0)</f>
        <v>0</v>
      </c>
    </row>
    <row r="14" spans="1:253" x14ac:dyDescent="0.25">
      <c r="A14" s="61">
        <v>2</v>
      </c>
      <c r="B14" s="3" t="s">
        <v>51</v>
      </c>
      <c r="C14" s="3" t="s">
        <v>64</v>
      </c>
      <c r="D14" s="5" t="s">
        <v>65</v>
      </c>
      <c r="E14" s="3" t="s">
        <v>66</v>
      </c>
      <c r="F14" s="3" t="s">
        <v>617</v>
      </c>
      <c r="G14" s="38">
        <f>'Stavební rozpočet'!G15</f>
        <v>9</v>
      </c>
      <c r="H14" s="38">
        <f>'Stavební rozpočet'!H15</f>
        <v>0</v>
      </c>
      <c r="I14" s="38">
        <f t="shared" si="0"/>
        <v>0</v>
      </c>
      <c r="J14" s="38">
        <f t="shared" si="1"/>
        <v>0</v>
      </c>
      <c r="K14" s="38">
        <f t="shared" si="2"/>
        <v>0</v>
      </c>
      <c r="L14" s="38">
        <f>'Stavební rozpočet'!N15</f>
        <v>0</v>
      </c>
      <c r="M14" s="62">
        <f t="shared" si="3"/>
        <v>0</v>
      </c>
      <c r="HV14" s="3" t="s">
        <v>53</v>
      </c>
      <c r="HW14" s="3" t="s">
        <v>616</v>
      </c>
      <c r="IR14" s="63">
        <f>H14*0</f>
        <v>0</v>
      </c>
      <c r="IS14" s="63">
        <f>H14*(1-0)</f>
        <v>0</v>
      </c>
    </row>
    <row r="15" spans="1:253" x14ac:dyDescent="0.25">
      <c r="A15" s="61">
        <v>3</v>
      </c>
      <c r="B15" s="3" t="s">
        <v>51</v>
      </c>
      <c r="C15" s="3" t="s">
        <v>70</v>
      </c>
      <c r="D15" s="5" t="s">
        <v>71</v>
      </c>
      <c r="E15" s="3" t="s">
        <v>58</v>
      </c>
      <c r="F15" s="3" t="s">
        <v>618</v>
      </c>
      <c r="G15" s="38">
        <f>'Stavební rozpočet'!G17</f>
        <v>7.476</v>
      </c>
      <c r="H15" s="38">
        <f>'Stavební rozpočet'!H17</f>
        <v>0</v>
      </c>
      <c r="I15" s="38">
        <f t="shared" si="0"/>
        <v>0</v>
      </c>
      <c r="J15" s="38">
        <f t="shared" si="1"/>
        <v>0</v>
      </c>
      <c r="K15" s="38">
        <f t="shared" si="2"/>
        <v>0</v>
      </c>
      <c r="L15" s="38">
        <f>'Stavební rozpočet'!N17</f>
        <v>8.9169999999999999E-2</v>
      </c>
      <c r="M15" s="62">
        <f t="shared" si="3"/>
        <v>0.66663492000000002</v>
      </c>
      <c r="HV15" s="3" t="s">
        <v>53</v>
      </c>
      <c r="HW15" s="3" t="s">
        <v>616</v>
      </c>
      <c r="IR15" s="63">
        <f>H15*0.107115987</f>
        <v>0</v>
      </c>
      <c r="IS15" s="63">
        <f>H15*(1-0.107115987)</f>
        <v>0</v>
      </c>
    </row>
    <row r="16" spans="1:253" x14ac:dyDescent="0.25">
      <c r="A16" s="61">
        <v>4</v>
      </c>
      <c r="B16" s="3" t="s">
        <v>51</v>
      </c>
      <c r="C16" s="3" t="s">
        <v>74</v>
      </c>
      <c r="D16" s="5" t="s">
        <v>75</v>
      </c>
      <c r="E16" s="3" t="s">
        <v>58</v>
      </c>
      <c r="F16" s="3" t="s">
        <v>619</v>
      </c>
      <c r="G16" s="38">
        <f>'Stavební rozpočet'!G19</f>
        <v>2.4</v>
      </c>
      <c r="H16" s="38">
        <f>'Stavební rozpočet'!H19</f>
        <v>0</v>
      </c>
      <c r="I16" s="38">
        <f t="shared" si="0"/>
        <v>0</v>
      </c>
      <c r="J16" s="38">
        <f t="shared" si="1"/>
        <v>0</v>
      </c>
      <c r="K16" s="38">
        <f t="shared" si="2"/>
        <v>0</v>
      </c>
      <c r="L16" s="38">
        <f>'Stavební rozpočet'!N19</f>
        <v>7.7170000000000002E-2</v>
      </c>
      <c r="M16" s="62">
        <f t="shared" si="3"/>
        <v>0.18520800000000001</v>
      </c>
      <c r="HV16" s="3" t="s">
        <v>53</v>
      </c>
      <c r="HW16" s="3" t="s">
        <v>616</v>
      </c>
      <c r="IR16" s="63">
        <f>H16*0.066868885</f>
        <v>0</v>
      </c>
      <c r="IS16" s="63">
        <f>H16*(1-0.066868885)</f>
        <v>0</v>
      </c>
    </row>
    <row r="17" spans="1:253" x14ac:dyDescent="0.25">
      <c r="A17" s="61">
        <v>5</v>
      </c>
      <c r="B17" s="3" t="s">
        <v>51</v>
      </c>
      <c r="C17" s="3" t="s">
        <v>78</v>
      </c>
      <c r="D17" s="5" t="s">
        <v>79</v>
      </c>
      <c r="E17" s="3" t="s">
        <v>58</v>
      </c>
      <c r="F17" s="3" t="s">
        <v>620</v>
      </c>
      <c r="G17" s="38">
        <f>'Stavební rozpočet'!G21</f>
        <v>1.38</v>
      </c>
      <c r="H17" s="38">
        <f>'Stavební rozpočet'!H21</f>
        <v>0</v>
      </c>
      <c r="I17" s="38">
        <f t="shared" si="0"/>
        <v>0</v>
      </c>
      <c r="J17" s="38">
        <f t="shared" si="1"/>
        <v>0</v>
      </c>
      <c r="K17" s="38">
        <f t="shared" si="2"/>
        <v>0</v>
      </c>
      <c r="L17" s="38">
        <f>'Stavební rozpočet'!N21</f>
        <v>5.8999999999999997E-2</v>
      </c>
      <c r="M17" s="62">
        <f t="shared" si="3"/>
        <v>8.1419999999999992E-2</v>
      </c>
      <c r="HV17" s="3" t="s">
        <v>53</v>
      </c>
      <c r="HW17" s="3" t="s">
        <v>616</v>
      </c>
      <c r="IR17" s="63">
        <f>H17*0</f>
        <v>0</v>
      </c>
      <c r="IS17" s="63">
        <f>H17*(1-0)</f>
        <v>0</v>
      </c>
    </row>
    <row r="18" spans="1:253" x14ac:dyDescent="0.25">
      <c r="A18" s="61">
        <v>6</v>
      </c>
      <c r="B18" s="3" t="s">
        <v>51</v>
      </c>
      <c r="C18" s="3" t="s">
        <v>81</v>
      </c>
      <c r="D18" s="5" t="s">
        <v>82</v>
      </c>
      <c r="E18" s="3" t="s">
        <v>58</v>
      </c>
      <c r="F18" s="3" t="s">
        <v>621</v>
      </c>
      <c r="G18" s="38">
        <f>'Stavební rozpočet'!G22</f>
        <v>14.0025</v>
      </c>
      <c r="H18" s="38">
        <f>'Stavební rozpočet'!H22</f>
        <v>0</v>
      </c>
      <c r="I18" s="38">
        <f t="shared" si="0"/>
        <v>0</v>
      </c>
      <c r="J18" s="38">
        <f t="shared" si="1"/>
        <v>0</v>
      </c>
      <c r="K18" s="38">
        <f t="shared" si="2"/>
        <v>0</v>
      </c>
      <c r="L18" s="38">
        <f>'Stavební rozpočet'!N22</f>
        <v>1.2160000000000001E-2</v>
      </c>
      <c r="M18" s="62">
        <f t="shared" si="3"/>
        <v>0.17027040000000002</v>
      </c>
      <c r="HV18" s="3" t="s">
        <v>53</v>
      </c>
      <c r="HW18" s="3" t="s">
        <v>616</v>
      </c>
      <c r="IR18" s="63">
        <f>H18*0.051742627</f>
        <v>0</v>
      </c>
      <c r="IS18" s="63">
        <f>H18*(1-0.051742627)</f>
        <v>0</v>
      </c>
    </row>
    <row r="19" spans="1:253" x14ac:dyDescent="0.25">
      <c r="A19" s="109" t="s">
        <v>50</v>
      </c>
      <c r="B19" s="110"/>
      <c r="C19" s="110"/>
      <c r="D19" s="110"/>
      <c r="E19" s="110"/>
      <c r="F19" s="3" t="s">
        <v>622</v>
      </c>
      <c r="G19" s="38">
        <v>2.16</v>
      </c>
      <c r="H19" s="38">
        <f>'Stavební rozpočet'!H22</f>
        <v>0</v>
      </c>
      <c r="M19" s="64"/>
      <c r="HV19" s="3" t="s">
        <v>53</v>
      </c>
      <c r="HW19" s="3" t="s">
        <v>616</v>
      </c>
      <c r="IR19" s="63">
        <f>H19*0.051742627</f>
        <v>0</v>
      </c>
      <c r="IS19" s="63">
        <f>H19*(1-0.051742627)</f>
        <v>0</v>
      </c>
    </row>
    <row r="20" spans="1:253" x14ac:dyDescent="0.25">
      <c r="A20" s="61">
        <v>7</v>
      </c>
      <c r="B20" s="3" t="s">
        <v>51</v>
      </c>
      <c r="C20" s="3" t="s">
        <v>85</v>
      </c>
      <c r="D20" s="5" t="s">
        <v>86</v>
      </c>
      <c r="E20" s="3" t="s">
        <v>58</v>
      </c>
      <c r="F20" s="3" t="s">
        <v>623</v>
      </c>
      <c r="G20" s="38">
        <f>'Stavební rozpočet'!G24</f>
        <v>11.842499999999999</v>
      </c>
      <c r="H20" s="38">
        <f>'Stavební rozpočet'!H24</f>
        <v>0</v>
      </c>
      <c r="I20" s="38">
        <f>ROUND(IR20*G20,2)</f>
        <v>0</v>
      </c>
      <c r="J20" s="38">
        <f>ROUND(IS20*G20,2)</f>
        <v>0</v>
      </c>
      <c r="K20" s="38">
        <f>ROUND(IR20*G20+IS20*G20,2)</f>
        <v>0</v>
      </c>
      <c r="L20" s="38">
        <f>'Stavební rozpočet'!N24</f>
        <v>0.02</v>
      </c>
      <c r="M20" s="62">
        <f>L20*G20</f>
        <v>0.23685</v>
      </c>
      <c r="HV20" s="3" t="s">
        <v>53</v>
      </c>
      <c r="HW20" s="3" t="s">
        <v>616</v>
      </c>
      <c r="IR20" s="63">
        <f>H20*0</f>
        <v>0</v>
      </c>
      <c r="IS20" s="63">
        <f>H20*(1-0)</f>
        <v>0</v>
      </c>
    </row>
    <row r="21" spans="1:253" ht="13.5" customHeight="1" x14ac:dyDescent="0.25">
      <c r="A21" s="42"/>
      <c r="D21" s="5" t="s">
        <v>88</v>
      </c>
      <c r="M21" s="64"/>
    </row>
    <row r="22" spans="1:253" x14ac:dyDescent="0.25">
      <c r="A22" s="61">
        <v>8</v>
      </c>
      <c r="B22" s="3" t="s">
        <v>51</v>
      </c>
      <c r="C22" s="3" t="s">
        <v>91</v>
      </c>
      <c r="D22" s="5" t="s">
        <v>92</v>
      </c>
      <c r="E22" s="3" t="s">
        <v>58</v>
      </c>
      <c r="F22" s="3" t="s">
        <v>624</v>
      </c>
      <c r="G22" s="38">
        <f>'Stavební rozpočet'!G27</f>
        <v>11.842499999999999</v>
      </c>
      <c r="H22" s="38">
        <f>'Stavební rozpočet'!H27</f>
        <v>0</v>
      </c>
      <c r="I22" s="38">
        <f>ROUND(IR22*G22,2)</f>
        <v>0</v>
      </c>
      <c r="J22" s="38">
        <f>ROUND(IS22*G22,2)</f>
        <v>0</v>
      </c>
      <c r="K22" s="38">
        <f>ROUND(IR22*G22+IS22*G22,2)</f>
        <v>0</v>
      </c>
      <c r="L22" s="38">
        <f>'Stavební rozpočet'!N27</f>
        <v>2.5510000000000001E-2</v>
      </c>
      <c r="M22" s="62">
        <f>L22*G22</f>
        <v>0.30210217499999997</v>
      </c>
      <c r="HV22" s="3" t="s">
        <v>53</v>
      </c>
      <c r="HW22" s="3" t="s">
        <v>616</v>
      </c>
      <c r="IR22" s="63">
        <f>H22*0</f>
        <v>0</v>
      </c>
      <c r="IS22" s="63">
        <f>H22*(1-0)</f>
        <v>0</v>
      </c>
    </row>
    <row r="23" spans="1:253" x14ac:dyDescent="0.25">
      <c r="A23" s="61">
        <v>9</v>
      </c>
      <c r="B23" s="3" t="s">
        <v>51</v>
      </c>
      <c r="C23" s="3" t="s">
        <v>94</v>
      </c>
      <c r="D23" s="5" t="s">
        <v>95</v>
      </c>
      <c r="E23" s="3" t="s">
        <v>58</v>
      </c>
      <c r="F23" s="3" t="s">
        <v>625</v>
      </c>
      <c r="G23" s="38">
        <f>'Stavební rozpočet'!G28</f>
        <v>55.2</v>
      </c>
      <c r="H23" s="38">
        <f>'Stavební rozpočet'!H28</f>
        <v>0</v>
      </c>
      <c r="I23" s="38">
        <f>ROUND(IR23*G23,2)</f>
        <v>0</v>
      </c>
      <c r="J23" s="38">
        <f>ROUND(IS23*G23,2)</f>
        <v>0</v>
      </c>
      <c r="K23" s="38">
        <f>ROUND(IR23*G23+IS23*G23,2)</f>
        <v>0</v>
      </c>
      <c r="L23" s="38">
        <f>'Stavební rozpočet'!N28</f>
        <v>6.8000000000000005E-2</v>
      </c>
      <c r="M23" s="62">
        <f>L23*G23</f>
        <v>3.7536000000000005</v>
      </c>
      <c r="HV23" s="3" t="s">
        <v>53</v>
      </c>
      <c r="HW23" s="3" t="s">
        <v>616</v>
      </c>
      <c r="IR23" s="63">
        <f>H23*0</f>
        <v>0</v>
      </c>
      <c r="IS23" s="63">
        <f>H23*(1-0)</f>
        <v>0</v>
      </c>
    </row>
    <row r="24" spans="1:253" x14ac:dyDescent="0.25">
      <c r="A24" s="109" t="s">
        <v>50</v>
      </c>
      <c r="B24" s="110"/>
      <c r="C24" s="110"/>
      <c r="D24" s="110"/>
      <c r="E24" s="110"/>
      <c r="F24" s="3" t="s">
        <v>626</v>
      </c>
      <c r="G24" s="38">
        <v>15.02</v>
      </c>
      <c r="H24" s="38">
        <f>'Stavební rozpočet'!H28</f>
        <v>0</v>
      </c>
      <c r="M24" s="64"/>
      <c r="HV24" s="3" t="s">
        <v>53</v>
      </c>
      <c r="HW24" s="3" t="s">
        <v>616</v>
      </c>
      <c r="IR24" s="63">
        <f>H24*0</f>
        <v>0</v>
      </c>
      <c r="IS24" s="63">
        <f>H24*(1-0)</f>
        <v>0</v>
      </c>
    </row>
    <row r="25" spans="1:253" x14ac:dyDescent="0.25">
      <c r="A25" s="61">
        <v>10</v>
      </c>
      <c r="B25" s="3" t="s">
        <v>51</v>
      </c>
      <c r="C25" s="3" t="s">
        <v>98</v>
      </c>
      <c r="D25" s="5" t="s">
        <v>99</v>
      </c>
      <c r="E25" s="3" t="s">
        <v>100</v>
      </c>
      <c r="F25" s="3" t="s">
        <v>627</v>
      </c>
      <c r="G25" s="38">
        <f>'Stavební rozpočet'!G30</f>
        <v>15.2</v>
      </c>
      <c r="H25" s="38">
        <f>'Stavební rozpočet'!H30</f>
        <v>0</v>
      </c>
      <c r="I25" s="38">
        <f>ROUND(IR25*G25,2)</f>
        <v>0</v>
      </c>
      <c r="J25" s="38">
        <f>ROUND(IS25*G25,2)</f>
        <v>0</v>
      </c>
      <c r="K25" s="38">
        <f>ROUND(IR25*G25+IS25*G25,2)</f>
        <v>0</v>
      </c>
      <c r="L25" s="38">
        <f>'Stavební rozpočet'!N30</f>
        <v>4.6000000000000001E-4</v>
      </c>
      <c r="M25" s="62">
        <f>L25*G25</f>
        <v>6.992E-3</v>
      </c>
      <c r="HV25" s="3" t="s">
        <v>53</v>
      </c>
      <c r="HW25" s="3" t="s">
        <v>616</v>
      </c>
      <c r="IR25" s="63">
        <f>H25*0.117660695</f>
        <v>0</v>
      </c>
      <c r="IS25" s="63">
        <f>H25*(1-0.117660695)</f>
        <v>0</v>
      </c>
    </row>
    <row r="26" spans="1:253" x14ac:dyDescent="0.25">
      <c r="A26" s="61">
        <v>11</v>
      </c>
      <c r="B26" s="3" t="s">
        <v>51</v>
      </c>
      <c r="C26" s="3" t="s">
        <v>102</v>
      </c>
      <c r="D26" s="5" t="s">
        <v>103</v>
      </c>
      <c r="E26" s="3" t="s">
        <v>58</v>
      </c>
      <c r="F26" s="3" t="s">
        <v>628</v>
      </c>
      <c r="G26" s="38">
        <f>'Stavební rozpočet'!G31</f>
        <v>11.718</v>
      </c>
      <c r="H26" s="38">
        <f>'Stavební rozpočet'!H31</f>
        <v>0</v>
      </c>
      <c r="I26" s="38">
        <f>ROUND(IR26*G26,2)</f>
        <v>0</v>
      </c>
      <c r="J26" s="38">
        <f>ROUND(IS26*G26,2)</f>
        <v>0</v>
      </c>
      <c r="K26" s="38">
        <f>ROUND(IR26*G26+IS26*G26,2)</f>
        <v>0</v>
      </c>
      <c r="L26" s="38">
        <f>'Stavební rozpočet'!N31</f>
        <v>0.13367000000000001</v>
      </c>
      <c r="M26" s="62">
        <f>L26*G26</f>
        <v>1.5663450600000002</v>
      </c>
      <c r="HV26" s="3" t="s">
        <v>53</v>
      </c>
      <c r="HW26" s="3" t="s">
        <v>616</v>
      </c>
      <c r="IR26" s="63">
        <f>H26*0.153596838</f>
        <v>0</v>
      </c>
      <c r="IS26" s="63">
        <f>H26*(1-0.153596838)</f>
        <v>0</v>
      </c>
    </row>
    <row r="27" spans="1:253" x14ac:dyDescent="0.25">
      <c r="A27" s="61">
        <v>12</v>
      </c>
      <c r="B27" s="3" t="s">
        <v>51</v>
      </c>
      <c r="C27" s="3" t="s">
        <v>105</v>
      </c>
      <c r="D27" s="5" t="s">
        <v>106</v>
      </c>
      <c r="E27" s="3" t="s">
        <v>100</v>
      </c>
      <c r="F27" s="3" t="s">
        <v>629</v>
      </c>
      <c r="G27" s="38">
        <f>'Stavební rozpočet'!G32</f>
        <v>20</v>
      </c>
      <c r="H27" s="38">
        <f>'Stavební rozpočet'!H32</f>
        <v>0</v>
      </c>
      <c r="I27" s="38">
        <f>ROUND(IR27*G27,2)</f>
        <v>0</v>
      </c>
      <c r="J27" s="38">
        <f>ROUND(IS27*G27,2)</f>
        <v>0</v>
      </c>
      <c r="K27" s="38">
        <f>ROUND(IR27*G27+IS27*G27,2)</f>
        <v>0</v>
      </c>
      <c r="L27" s="38">
        <f>'Stavební rozpočet'!N32</f>
        <v>1.949E-2</v>
      </c>
      <c r="M27" s="62">
        <f>L27*G27</f>
        <v>0.38980000000000004</v>
      </c>
      <c r="HV27" s="3" t="s">
        <v>53</v>
      </c>
      <c r="HW27" s="3" t="s">
        <v>616</v>
      </c>
      <c r="IR27" s="63">
        <f>H27*0.073972885</f>
        <v>0</v>
      </c>
      <c r="IS27" s="63">
        <f>H27*(1-0.073972885)</f>
        <v>0</v>
      </c>
    </row>
    <row r="28" spans="1:253" x14ac:dyDescent="0.25">
      <c r="A28" s="109" t="s">
        <v>50</v>
      </c>
      <c r="B28" s="110"/>
      <c r="C28" s="110"/>
      <c r="D28" s="110"/>
      <c r="E28" s="110"/>
      <c r="F28" s="3" t="s">
        <v>630</v>
      </c>
      <c r="G28" s="38">
        <v>8</v>
      </c>
      <c r="H28" s="38">
        <f>'Stavební rozpočet'!H32</f>
        <v>0</v>
      </c>
      <c r="M28" s="64"/>
      <c r="HV28" s="3" t="s">
        <v>53</v>
      </c>
      <c r="HW28" s="3" t="s">
        <v>616</v>
      </c>
      <c r="IR28" s="63">
        <f>H28*0.073972885</f>
        <v>0</v>
      </c>
      <c r="IS28" s="63">
        <f>H28*(1-0.073972885)</f>
        <v>0</v>
      </c>
    </row>
    <row r="29" spans="1:253" x14ac:dyDescent="0.25">
      <c r="A29" s="61">
        <v>13</v>
      </c>
      <c r="B29" s="3" t="s">
        <v>51</v>
      </c>
      <c r="C29" s="3" t="s">
        <v>109</v>
      </c>
      <c r="D29" s="5" t="s">
        <v>110</v>
      </c>
      <c r="E29" s="3" t="s">
        <v>66</v>
      </c>
      <c r="F29" s="3" t="s">
        <v>631</v>
      </c>
      <c r="G29" s="38">
        <f>'Stavební rozpočet'!G34</f>
        <v>12</v>
      </c>
      <c r="H29" s="38">
        <f>'Stavební rozpočet'!H34</f>
        <v>0</v>
      </c>
      <c r="I29" s="38">
        <f>ROUND(IR29*G29,2)</f>
        <v>0</v>
      </c>
      <c r="J29" s="38">
        <f>ROUND(IS29*G29,2)</f>
        <v>0</v>
      </c>
      <c r="K29" s="38">
        <f>ROUND(IR29*G29+IS29*G29,2)</f>
        <v>0</v>
      </c>
      <c r="L29" s="38">
        <f>'Stavební rozpočet'!N34</f>
        <v>4.8999999999999998E-3</v>
      </c>
      <c r="M29" s="62">
        <f>L29*G29</f>
        <v>5.8799999999999998E-2</v>
      </c>
      <c r="HV29" s="3" t="s">
        <v>53</v>
      </c>
      <c r="HW29" s="3" t="s">
        <v>616</v>
      </c>
      <c r="IR29" s="63">
        <f t="shared" ref="IR29:IR39" si="4">H29*0</f>
        <v>0</v>
      </c>
      <c r="IS29" s="63">
        <f t="shared" ref="IS29:IS39" si="5">H29*(1-0)</f>
        <v>0</v>
      </c>
    </row>
    <row r="30" spans="1:253" x14ac:dyDescent="0.25">
      <c r="A30" s="109" t="s">
        <v>50</v>
      </c>
      <c r="B30" s="110"/>
      <c r="C30" s="110"/>
      <c r="D30" s="110"/>
      <c r="E30" s="110"/>
      <c r="F30" s="3" t="s">
        <v>632</v>
      </c>
      <c r="G30" s="38">
        <v>3</v>
      </c>
      <c r="H30" s="38">
        <f>'Stavební rozpočet'!H34</f>
        <v>0</v>
      </c>
      <c r="M30" s="64"/>
      <c r="HV30" s="3" t="s">
        <v>53</v>
      </c>
      <c r="HW30" s="3" t="s">
        <v>616</v>
      </c>
      <c r="IR30" s="63">
        <f t="shared" si="4"/>
        <v>0</v>
      </c>
      <c r="IS30" s="63">
        <f t="shared" si="5"/>
        <v>0</v>
      </c>
    </row>
    <row r="31" spans="1:253" x14ac:dyDescent="0.25">
      <c r="A31" s="109" t="s">
        <v>50</v>
      </c>
      <c r="B31" s="110"/>
      <c r="C31" s="110"/>
      <c r="D31" s="110"/>
      <c r="E31" s="110"/>
      <c r="F31" s="3" t="s">
        <v>633</v>
      </c>
      <c r="G31" s="38">
        <v>3</v>
      </c>
      <c r="H31" s="38">
        <f>'Stavební rozpočet'!H34</f>
        <v>0</v>
      </c>
      <c r="M31" s="64"/>
      <c r="HV31" s="3" t="s">
        <v>53</v>
      </c>
      <c r="HW31" s="3" t="s">
        <v>616</v>
      </c>
      <c r="IR31" s="63">
        <f t="shared" si="4"/>
        <v>0</v>
      </c>
      <c r="IS31" s="63">
        <f t="shared" si="5"/>
        <v>0</v>
      </c>
    </row>
    <row r="32" spans="1:253" x14ac:dyDescent="0.25">
      <c r="A32" s="109" t="s">
        <v>50</v>
      </c>
      <c r="B32" s="110"/>
      <c r="C32" s="110"/>
      <c r="D32" s="110"/>
      <c r="E32" s="110"/>
      <c r="F32" s="3" t="s">
        <v>634</v>
      </c>
      <c r="G32" s="38">
        <v>3</v>
      </c>
      <c r="H32" s="38">
        <f>'Stavební rozpočet'!H34</f>
        <v>0</v>
      </c>
      <c r="M32" s="64"/>
      <c r="HV32" s="3" t="s">
        <v>53</v>
      </c>
      <c r="HW32" s="3" t="s">
        <v>616</v>
      </c>
      <c r="IR32" s="63">
        <f t="shared" si="4"/>
        <v>0</v>
      </c>
      <c r="IS32" s="63">
        <f t="shared" si="5"/>
        <v>0</v>
      </c>
    </row>
    <row r="33" spans="1:253" x14ac:dyDescent="0.25">
      <c r="A33" s="61">
        <v>14</v>
      </c>
      <c r="B33" s="3" t="s">
        <v>51</v>
      </c>
      <c r="C33" s="3" t="s">
        <v>112</v>
      </c>
      <c r="D33" s="5" t="s">
        <v>113</v>
      </c>
      <c r="E33" s="3" t="s">
        <v>66</v>
      </c>
      <c r="F33" s="3" t="s">
        <v>635</v>
      </c>
      <c r="G33" s="38">
        <f>'Stavební rozpočet'!G35</f>
        <v>4</v>
      </c>
      <c r="H33" s="38">
        <f>'Stavební rozpočet'!H35</f>
        <v>0</v>
      </c>
      <c r="I33" s="38">
        <f>ROUND(IR33*G33,2)</f>
        <v>0</v>
      </c>
      <c r="J33" s="38">
        <f>ROUND(IS33*G33,2)</f>
        <v>0</v>
      </c>
      <c r="K33" s="38">
        <f>ROUND(IR33*G33+IS33*G33,2)</f>
        <v>0</v>
      </c>
      <c r="L33" s="38">
        <f>'Stavební rozpočet'!N35</f>
        <v>4.8999999999999998E-3</v>
      </c>
      <c r="M33" s="62">
        <f>L33*G33</f>
        <v>1.9599999999999999E-2</v>
      </c>
      <c r="HV33" s="3" t="s">
        <v>53</v>
      </c>
      <c r="HW33" s="3" t="s">
        <v>616</v>
      </c>
      <c r="IR33" s="63">
        <f t="shared" si="4"/>
        <v>0</v>
      </c>
      <c r="IS33" s="63">
        <f t="shared" si="5"/>
        <v>0</v>
      </c>
    </row>
    <row r="34" spans="1:253" x14ac:dyDescent="0.25">
      <c r="A34" s="109" t="s">
        <v>50</v>
      </c>
      <c r="B34" s="110"/>
      <c r="C34" s="110"/>
      <c r="D34" s="110"/>
      <c r="E34" s="110"/>
      <c r="F34" s="3" t="s">
        <v>636</v>
      </c>
      <c r="G34" s="38">
        <v>1</v>
      </c>
      <c r="H34" s="38">
        <f>'Stavební rozpočet'!H35</f>
        <v>0</v>
      </c>
      <c r="M34" s="64"/>
      <c r="HV34" s="3" t="s">
        <v>53</v>
      </c>
      <c r="HW34" s="3" t="s">
        <v>616</v>
      </c>
      <c r="IR34" s="63">
        <f t="shared" si="4"/>
        <v>0</v>
      </c>
      <c r="IS34" s="63">
        <f t="shared" si="5"/>
        <v>0</v>
      </c>
    </row>
    <row r="35" spans="1:253" x14ac:dyDescent="0.25">
      <c r="A35" s="109" t="s">
        <v>50</v>
      </c>
      <c r="B35" s="110"/>
      <c r="C35" s="110"/>
      <c r="D35" s="110"/>
      <c r="E35" s="110"/>
      <c r="F35" s="3" t="s">
        <v>637</v>
      </c>
      <c r="G35" s="38">
        <v>1</v>
      </c>
      <c r="H35" s="38">
        <f>'Stavební rozpočet'!H35</f>
        <v>0</v>
      </c>
      <c r="M35" s="64"/>
      <c r="HV35" s="3" t="s">
        <v>53</v>
      </c>
      <c r="HW35" s="3" t="s">
        <v>616</v>
      </c>
      <c r="IR35" s="63">
        <f t="shared" si="4"/>
        <v>0</v>
      </c>
      <c r="IS35" s="63">
        <f t="shared" si="5"/>
        <v>0</v>
      </c>
    </row>
    <row r="36" spans="1:253" x14ac:dyDescent="0.25">
      <c r="A36" s="109" t="s">
        <v>50</v>
      </c>
      <c r="B36" s="110"/>
      <c r="C36" s="110"/>
      <c r="D36" s="110"/>
      <c r="E36" s="110"/>
      <c r="F36" s="3" t="s">
        <v>638</v>
      </c>
      <c r="G36" s="38">
        <v>1</v>
      </c>
      <c r="H36" s="38">
        <f>'Stavební rozpočet'!H35</f>
        <v>0</v>
      </c>
      <c r="M36" s="64"/>
      <c r="HV36" s="3" t="s">
        <v>53</v>
      </c>
      <c r="HW36" s="3" t="s">
        <v>616</v>
      </c>
      <c r="IR36" s="63">
        <f t="shared" si="4"/>
        <v>0</v>
      </c>
      <c r="IS36" s="63">
        <f t="shared" si="5"/>
        <v>0</v>
      </c>
    </row>
    <row r="37" spans="1:253" x14ac:dyDescent="0.25">
      <c r="A37" s="61">
        <v>15</v>
      </c>
      <c r="B37" s="3" t="s">
        <v>51</v>
      </c>
      <c r="C37" s="3" t="s">
        <v>116</v>
      </c>
      <c r="D37" s="5" t="s">
        <v>117</v>
      </c>
      <c r="E37" s="3" t="s">
        <v>118</v>
      </c>
      <c r="F37" s="3" t="s">
        <v>639</v>
      </c>
      <c r="G37" s="38">
        <f>'Stavební rozpočet'!G36</f>
        <v>2</v>
      </c>
      <c r="H37" s="38">
        <f>'Stavební rozpočet'!H36</f>
        <v>0</v>
      </c>
      <c r="I37" s="38">
        <f t="shared" ref="I37:I52" si="6">ROUND(IR37*G37,2)</f>
        <v>0</v>
      </c>
      <c r="J37" s="38">
        <f t="shared" ref="J37:J52" si="7">ROUND(IS37*G37,2)</f>
        <v>0</v>
      </c>
      <c r="K37" s="38">
        <f t="shared" ref="K37:K52" si="8">ROUND(IR37*G37+IS37*G37,2)</f>
        <v>0</v>
      </c>
      <c r="L37" s="38">
        <f>'Stavební rozpočet'!N36</f>
        <v>8.7999999999999995E-2</v>
      </c>
      <c r="M37" s="62">
        <f t="shared" ref="M37:M52" si="9">L37*G37</f>
        <v>0.17599999999999999</v>
      </c>
      <c r="HV37" s="3" t="s">
        <v>53</v>
      </c>
      <c r="HW37" s="3" t="s">
        <v>616</v>
      </c>
      <c r="IR37" s="63">
        <f t="shared" si="4"/>
        <v>0</v>
      </c>
      <c r="IS37" s="63">
        <f t="shared" si="5"/>
        <v>0</v>
      </c>
    </row>
    <row r="38" spans="1:253" x14ac:dyDescent="0.25">
      <c r="A38" s="61">
        <v>16</v>
      </c>
      <c r="B38" s="3" t="s">
        <v>51</v>
      </c>
      <c r="C38" s="3" t="s">
        <v>120</v>
      </c>
      <c r="D38" s="5" t="s">
        <v>121</v>
      </c>
      <c r="E38" s="3" t="s">
        <v>66</v>
      </c>
      <c r="F38" s="3" t="s">
        <v>640</v>
      </c>
      <c r="G38" s="38">
        <f>'Stavební rozpočet'!G37</f>
        <v>4</v>
      </c>
      <c r="H38" s="38">
        <f>'Stavební rozpočet'!H37</f>
        <v>0</v>
      </c>
      <c r="I38" s="38">
        <f t="shared" si="6"/>
        <v>0</v>
      </c>
      <c r="J38" s="38">
        <f t="shared" si="7"/>
        <v>0</v>
      </c>
      <c r="K38" s="38">
        <f t="shared" si="8"/>
        <v>0</v>
      </c>
      <c r="L38" s="38">
        <f>'Stavební rozpočet'!N37</f>
        <v>3.1870000000000002E-2</v>
      </c>
      <c r="M38" s="62">
        <f t="shared" si="9"/>
        <v>0.12748000000000001</v>
      </c>
      <c r="HV38" s="3" t="s">
        <v>53</v>
      </c>
      <c r="HW38" s="3" t="s">
        <v>616</v>
      </c>
      <c r="IR38" s="63">
        <f t="shared" si="4"/>
        <v>0</v>
      </c>
      <c r="IS38" s="63">
        <f t="shared" si="5"/>
        <v>0</v>
      </c>
    </row>
    <row r="39" spans="1:253" x14ac:dyDescent="0.25">
      <c r="A39" s="61">
        <v>17</v>
      </c>
      <c r="B39" s="3" t="s">
        <v>51</v>
      </c>
      <c r="C39" s="3" t="s">
        <v>123</v>
      </c>
      <c r="D39" s="5" t="s">
        <v>124</v>
      </c>
      <c r="E39" s="3" t="s">
        <v>118</v>
      </c>
      <c r="F39" s="3" t="s">
        <v>641</v>
      </c>
      <c r="G39" s="38">
        <f>'Stavební rozpočet'!G38</f>
        <v>2</v>
      </c>
      <c r="H39" s="38">
        <f>'Stavební rozpočet'!H38</f>
        <v>0</v>
      </c>
      <c r="I39" s="38">
        <f t="shared" si="6"/>
        <v>0</v>
      </c>
      <c r="J39" s="38">
        <f t="shared" si="7"/>
        <v>0</v>
      </c>
      <c r="K39" s="38">
        <f t="shared" si="8"/>
        <v>0</v>
      </c>
      <c r="L39" s="38">
        <f>'Stavební rozpočet'!N38</f>
        <v>3.4200000000000001E-2</v>
      </c>
      <c r="M39" s="62">
        <f t="shared" si="9"/>
        <v>6.8400000000000002E-2</v>
      </c>
      <c r="HV39" s="3" t="s">
        <v>53</v>
      </c>
      <c r="HW39" s="3" t="s">
        <v>616</v>
      </c>
      <c r="IR39" s="63">
        <f t="shared" si="4"/>
        <v>0</v>
      </c>
      <c r="IS39" s="63">
        <f t="shared" si="5"/>
        <v>0</v>
      </c>
    </row>
    <row r="40" spans="1:253" x14ac:dyDescent="0.25">
      <c r="A40" s="61">
        <v>18</v>
      </c>
      <c r="B40" s="3" t="s">
        <v>51</v>
      </c>
      <c r="C40" s="3" t="s">
        <v>126</v>
      </c>
      <c r="D40" s="5" t="s">
        <v>127</v>
      </c>
      <c r="E40" s="3" t="s">
        <v>66</v>
      </c>
      <c r="F40" s="3" t="s">
        <v>642</v>
      </c>
      <c r="G40" s="38">
        <f>'Stavební rozpočet'!G39</f>
        <v>2</v>
      </c>
      <c r="H40" s="38">
        <f>'Stavební rozpočet'!H39</f>
        <v>0</v>
      </c>
      <c r="I40" s="38">
        <f t="shared" si="6"/>
        <v>0</v>
      </c>
      <c r="J40" s="38">
        <f t="shared" si="7"/>
        <v>0</v>
      </c>
      <c r="K40" s="38">
        <f t="shared" si="8"/>
        <v>0</v>
      </c>
      <c r="L40" s="38">
        <f>'Stavební rozpočet'!N39</f>
        <v>2.5010000000000001E-2</v>
      </c>
      <c r="M40" s="62">
        <f t="shared" si="9"/>
        <v>5.0020000000000002E-2</v>
      </c>
      <c r="HV40" s="3" t="s">
        <v>53</v>
      </c>
      <c r="HW40" s="3" t="s">
        <v>616</v>
      </c>
      <c r="IR40" s="63">
        <f>H40*0.15606249</f>
        <v>0</v>
      </c>
      <c r="IS40" s="63">
        <f>H40*(1-0.15606249)</f>
        <v>0</v>
      </c>
    </row>
    <row r="41" spans="1:253" x14ac:dyDescent="0.25">
      <c r="A41" s="61">
        <v>19</v>
      </c>
      <c r="B41" s="3" t="s">
        <v>51</v>
      </c>
      <c r="C41" s="3" t="s">
        <v>129</v>
      </c>
      <c r="D41" s="5" t="s">
        <v>130</v>
      </c>
      <c r="E41" s="3" t="s">
        <v>66</v>
      </c>
      <c r="F41" s="3" t="s">
        <v>643</v>
      </c>
      <c r="G41" s="38">
        <f>'Stavební rozpočet'!G40</f>
        <v>2</v>
      </c>
      <c r="H41" s="38">
        <f>'Stavební rozpočet'!H40</f>
        <v>0</v>
      </c>
      <c r="I41" s="38">
        <f t="shared" si="6"/>
        <v>0</v>
      </c>
      <c r="J41" s="38">
        <f t="shared" si="7"/>
        <v>0</v>
      </c>
      <c r="K41" s="38">
        <f t="shared" si="8"/>
        <v>0</v>
      </c>
      <c r="L41" s="38">
        <f>'Stavební rozpočet'!N40</f>
        <v>4.6829999999999997E-2</v>
      </c>
      <c r="M41" s="62">
        <f t="shared" si="9"/>
        <v>9.3659999999999993E-2</v>
      </c>
      <c r="HV41" s="3" t="s">
        <v>53</v>
      </c>
      <c r="HW41" s="3" t="s">
        <v>616</v>
      </c>
      <c r="IR41" s="63">
        <f>H41*0.120800033</f>
        <v>0</v>
      </c>
      <c r="IS41" s="63">
        <f>H41*(1-0.120800033)</f>
        <v>0</v>
      </c>
    </row>
    <row r="42" spans="1:253" x14ac:dyDescent="0.25">
      <c r="A42" s="61">
        <v>20</v>
      </c>
      <c r="B42" s="3" t="s">
        <v>51</v>
      </c>
      <c r="C42" s="3" t="s">
        <v>132</v>
      </c>
      <c r="D42" s="5" t="s">
        <v>133</v>
      </c>
      <c r="E42" s="3" t="s">
        <v>134</v>
      </c>
      <c r="F42" s="3" t="s">
        <v>50</v>
      </c>
      <c r="G42" s="38">
        <f>'Stavební rozpočet'!G41</f>
        <v>8.0701800000000006</v>
      </c>
      <c r="H42" s="38">
        <f>'Stavební rozpočet'!H41</f>
        <v>0</v>
      </c>
      <c r="I42" s="38">
        <f t="shared" si="6"/>
        <v>0</v>
      </c>
      <c r="J42" s="38">
        <f t="shared" si="7"/>
        <v>0</v>
      </c>
      <c r="K42" s="38">
        <f t="shared" si="8"/>
        <v>0</v>
      </c>
      <c r="L42" s="38">
        <f>'Stavební rozpočet'!N41</f>
        <v>0</v>
      </c>
      <c r="M42" s="62">
        <f t="shared" si="9"/>
        <v>0</v>
      </c>
      <c r="HV42" s="3" t="s">
        <v>53</v>
      </c>
      <c r="HW42" s="3" t="s">
        <v>616</v>
      </c>
      <c r="IR42" s="63">
        <f t="shared" ref="IR42:IR52" si="10">H42*0</f>
        <v>0</v>
      </c>
      <c r="IS42" s="63">
        <f t="shared" ref="IS42:IS52" si="11">H42*(1-0)</f>
        <v>0</v>
      </c>
    </row>
    <row r="43" spans="1:253" x14ac:dyDescent="0.25">
      <c r="A43" s="61">
        <v>21</v>
      </c>
      <c r="B43" s="3" t="s">
        <v>51</v>
      </c>
      <c r="C43" s="3" t="s">
        <v>136</v>
      </c>
      <c r="D43" s="5" t="s">
        <v>137</v>
      </c>
      <c r="E43" s="3" t="s">
        <v>134</v>
      </c>
      <c r="F43" s="3" t="s">
        <v>644</v>
      </c>
      <c r="G43" s="38">
        <f>'Stavební rozpočet'!G42</f>
        <v>32.280720000000002</v>
      </c>
      <c r="H43" s="38">
        <f>'Stavební rozpočet'!H42</f>
        <v>0</v>
      </c>
      <c r="I43" s="38">
        <f t="shared" si="6"/>
        <v>0</v>
      </c>
      <c r="J43" s="38">
        <f t="shared" si="7"/>
        <v>0</v>
      </c>
      <c r="K43" s="38">
        <f t="shared" si="8"/>
        <v>0</v>
      </c>
      <c r="L43" s="38">
        <f>'Stavební rozpočet'!N42</f>
        <v>0</v>
      </c>
      <c r="M43" s="62">
        <f t="shared" si="9"/>
        <v>0</v>
      </c>
      <c r="HV43" s="3" t="s">
        <v>53</v>
      </c>
      <c r="HW43" s="3" t="s">
        <v>616</v>
      </c>
      <c r="IR43" s="63">
        <f t="shared" si="10"/>
        <v>0</v>
      </c>
      <c r="IS43" s="63">
        <f t="shared" si="11"/>
        <v>0</v>
      </c>
    </row>
    <row r="44" spans="1:253" x14ac:dyDescent="0.25">
      <c r="A44" s="61">
        <v>22</v>
      </c>
      <c r="B44" s="3" t="s">
        <v>51</v>
      </c>
      <c r="C44" s="3" t="s">
        <v>139</v>
      </c>
      <c r="D44" s="5" t="s">
        <v>140</v>
      </c>
      <c r="E44" s="3" t="s">
        <v>134</v>
      </c>
      <c r="F44" s="3" t="s">
        <v>50</v>
      </c>
      <c r="G44" s="38">
        <f>'Stavební rozpočet'!G43</f>
        <v>8.0701800000000006</v>
      </c>
      <c r="H44" s="38">
        <f>'Stavební rozpočet'!H43</f>
        <v>0</v>
      </c>
      <c r="I44" s="38">
        <f t="shared" si="6"/>
        <v>0</v>
      </c>
      <c r="J44" s="38">
        <f t="shared" si="7"/>
        <v>0</v>
      </c>
      <c r="K44" s="38">
        <f t="shared" si="8"/>
        <v>0</v>
      </c>
      <c r="L44" s="38">
        <f>'Stavební rozpočet'!N43</f>
        <v>0</v>
      </c>
      <c r="M44" s="62">
        <f t="shared" si="9"/>
        <v>0</v>
      </c>
      <c r="HV44" s="3" t="s">
        <v>53</v>
      </c>
      <c r="HW44" s="3" t="s">
        <v>616</v>
      </c>
      <c r="IR44" s="63">
        <f t="shared" si="10"/>
        <v>0</v>
      </c>
      <c r="IS44" s="63">
        <f t="shared" si="11"/>
        <v>0</v>
      </c>
    </row>
    <row r="45" spans="1:253" x14ac:dyDescent="0.25">
      <c r="A45" s="61">
        <v>23</v>
      </c>
      <c r="B45" s="3" t="s">
        <v>51</v>
      </c>
      <c r="C45" s="3" t="s">
        <v>142</v>
      </c>
      <c r="D45" s="5" t="s">
        <v>143</v>
      </c>
      <c r="E45" s="3" t="s">
        <v>134</v>
      </c>
      <c r="F45" s="3" t="s">
        <v>50</v>
      </c>
      <c r="G45" s="38">
        <f>'Stavební rozpočet'!G44</f>
        <v>8.0701800000000006</v>
      </c>
      <c r="H45" s="38">
        <f>'Stavební rozpočet'!H44</f>
        <v>0</v>
      </c>
      <c r="I45" s="38">
        <f t="shared" si="6"/>
        <v>0</v>
      </c>
      <c r="J45" s="38">
        <f t="shared" si="7"/>
        <v>0</v>
      </c>
      <c r="K45" s="38">
        <f t="shared" si="8"/>
        <v>0</v>
      </c>
      <c r="L45" s="38">
        <f>'Stavební rozpočet'!N44</f>
        <v>0</v>
      </c>
      <c r="M45" s="62">
        <f t="shared" si="9"/>
        <v>0</v>
      </c>
      <c r="HV45" s="3" t="s">
        <v>53</v>
      </c>
      <c r="HW45" s="3" t="s">
        <v>616</v>
      </c>
      <c r="IR45" s="63">
        <f t="shared" si="10"/>
        <v>0</v>
      </c>
      <c r="IS45" s="63">
        <f t="shared" si="11"/>
        <v>0</v>
      </c>
    </row>
    <row r="46" spans="1:253" x14ac:dyDescent="0.25">
      <c r="A46" s="61">
        <v>24</v>
      </c>
      <c r="B46" s="3" t="s">
        <v>51</v>
      </c>
      <c r="C46" s="3" t="s">
        <v>145</v>
      </c>
      <c r="D46" s="5" t="s">
        <v>146</v>
      </c>
      <c r="E46" s="3" t="s">
        <v>134</v>
      </c>
      <c r="F46" s="3" t="s">
        <v>645</v>
      </c>
      <c r="G46" s="38">
        <f>'Stavební rozpočet'!G45</f>
        <v>112.98251999999999</v>
      </c>
      <c r="H46" s="38">
        <f>'Stavební rozpočet'!H45</f>
        <v>0</v>
      </c>
      <c r="I46" s="38">
        <f t="shared" si="6"/>
        <v>0</v>
      </c>
      <c r="J46" s="38">
        <f t="shared" si="7"/>
        <v>0</v>
      </c>
      <c r="K46" s="38">
        <f t="shared" si="8"/>
        <v>0</v>
      </c>
      <c r="L46" s="38">
        <f>'Stavební rozpočet'!N45</f>
        <v>0</v>
      </c>
      <c r="M46" s="62">
        <f t="shared" si="9"/>
        <v>0</v>
      </c>
      <c r="HV46" s="3" t="s">
        <v>53</v>
      </c>
      <c r="HW46" s="3" t="s">
        <v>616</v>
      </c>
      <c r="IR46" s="63">
        <f t="shared" si="10"/>
        <v>0</v>
      </c>
      <c r="IS46" s="63">
        <f t="shared" si="11"/>
        <v>0</v>
      </c>
    </row>
    <row r="47" spans="1:253" x14ac:dyDescent="0.25">
      <c r="A47" s="61">
        <v>25</v>
      </c>
      <c r="B47" s="3" t="s">
        <v>51</v>
      </c>
      <c r="C47" s="3" t="s">
        <v>148</v>
      </c>
      <c r="D47" s="5" t="s">
        <v>149</v>
      </c>
      <c r="E47" s="3" t="s">
        <v>134</v>
      </c>
      <c r="F47" s="3" t="s">
        <v>50</v>
      </c>
      <c r="G47" s="38">
        <f>'Stavební rozpočet'!G46</f>
        <v>4.2925500000000003</v>
      </c>
      <c r="H47" s="38">
        <f>'Stavební rozpočet'!H46</f>
        <v>0</v>
      </c>
      <c r="I47" s="38">
        <f t="shared" si="6"/>
        <v>0</v>
      </c>
      <c r="J47" s="38">
        <f t="shared" si="7"/>
        <v>0</v>
      </c>
      <c r="K47" s="38">
        <f t="shared" si="8"/>
        <v>0</v>
      </c>
      <c r="L47" s="38">
        <f>'Stavební rozpočet'!N46</f>
        <v>0</v>
      </c>
      <c r="M47" s="62">
        <f t="shared" si="9"/>
        <v>0</v>
      </c>
      <c r="HV47" s="3" t="s">
        <v>53</v>
      </c>
      <c r="HW47" s="3" t="s">
        <v>616</v>
      </c>
      <c r="IR47" s="63">
        <f t="shared" si="10"/>
        <v>0</v>
      </c>
      <c r="IS47" s="63">
        <f t="shared" si="11"/>
        <v>0</v>
      </c>
    </row>
    <row r="48" spans="1:253" x14ac:dyDescent="0.25">
      <c r="A48" s="61">
        <v>26</v>
      </c>
      <c r="B48" s="3" t="s">
        <v>51</v>
      </c>
      <c r="C48" s="3" t="s">
        <v>151</v>
      </c>
      <c r="D48" s="5" t="s">
        <v>152</v>
      </c>
      <c r="E48" s="3" t="s">
        <v>134</v>
      </c>
      <c r="F48" s="3" t="s">
        <v>50</v>
      </c>
      <c r="G48" s="38">
        <f>'Stavební rozpočet'!G47</f>
        <v>2.0445600000000002</v>
      </c>
      <c r="H48" s="38">
        <f>'Stavební rozpočet'!H47</f>
        <v>0</v>
      </c>
      <c r="I48" s="38">
        <f t="shared" si="6"/>
        <v>0</v>
      </c>
      <c r="J48" s="38">
        <f t="shared" si="7"/>
        <v>0</v>
      </c>
      <c r="K48" s="38">
        <f t="shared" si="8"/>
        <v>0</v>
      </c>
      <c r="L48" s="38">
        <f>'Stavební rozpočet'!N47</f>
        <v>0</v>
      </c>
      <c r="M48" s="62">
        <f t="shared" si="9"/>
        <v>0</v>
      </c>
      <c r="HV48" s="3" t="s">
        <v>53</v>
      </c>
      <c r="HW48" s="3" t="s">
        <v>616</v>
      </c>
      <c r="IR48" s="63">
        <f t="shared" si="10"/>
        <v>0</v>
      </c>
      <c r="IS48" s="63">
        <f t="shared" si="11"/>
        <v>0</v>
      </c>
    </row>
    <row r="49" spans="1:253" ht="25.5" x14ac:dyDescent="0.25">
      <c r="A49" s="61">
        <v>27</v>
      </c>
      <c r="B49" s="3" t="s">
        <v>51</v>
      </c>
      <c r="C49" s="3" t="s">
        <v>154</v>
      </c>
      <c r="D49" s="5" t="s">
        <v>155</v>
      </c>
      <c r="E49" s="3" t="s">
        <v>134</v>
      </c>
      <c r="F49" s="3" t="s">
        <v>50</v>
      </c>
      <c r="G49" s="38">
        <f>'Stavební rozpočet'!G48</f>
        <v>1.33162</v>
      </c>
      <c r="H49" s="38">
        <f>'Stavební rozpočet'!H48</f>
        <v>0</v>
      </c>
      <c r="I49" s="38">
        <f t="shared" si="6"/>
        <v>0</v>
      </c>
      <c r="J49" s="38">
        <f t="shared" si="7"/>
        <v>0</v>
      </c>
      <c r="K49" s="38">
        <f t="shared" si="8"/>
        <v>0</v>
      </c>
      <c r="L49" s="38">
        <f>'Stavební rozpočet'!N48</f>
        <v>0</v>
      </c>
      <c r="M49" s="62">
        <f t="shared" si="9"/>
        <v>0</v>
      </c>
      <c r="HV49" s="3" t="s">
        <v>53</v>
      </c>
      <c r="HW49" s="3" t="s">
        <v>616</v>
      </c>
      <c r="IR49" s="63">
        <f t="shared" si="10"/>
        <v>0</v>
      </c>
      <c r="IS49" s="63">
        <f t="shared" si="11"/>
        <v>0</v>
      </c>
    </row>
    <row r="50" spans="1:253" x14ac:dyDescent="0.25">
      <c r="A50" s="61">
        <v>28</v>
      </c>
      <c r="B50" s="3" t="s">
        <v>51</v>
      </c>
      <c r="C50" s="3" t="s">
        <v>157</v>
      </c>
      <c r="D50" s="5" t="s">
        <v>158</v>
      </c>
      <c r="E50" s="3" t="s">
        <v>134</v>
      </c>
      <c r="F50" s="3" t="s">
        <v>50</v>
      </c>
      <c r="G50" s="38">
        <f>'Stavební rozpočet'!G49</f>
        <v>0.17599999999999999</v>
      </c>
      <c r="H50" s="38">
        <f>'Stavební rozpočet'!H49</f>
        <v>0</v>
      </c>
      <c r="I50" s="38">
        <f t="shared" si="6"/>
        <v>0</v>
      </c>
      <c r="J50" s="38">
        <f t="shared" si="7"/>
        <v>0</v>
      </c>
      <c r="K50" s="38">
        <f t="shared" si="8"/>
        <v>0</v>
      </c>
      <c r="L50" s="38">
        <f>'Stavební rozpočet'!N49</f>
        <v>0</v>
      </c>
      <c r="M50" s="62">
        <f t="shared" si="9"/>
        <v>0</v>
      </c>
      <c r="HV50" s="3" t="s">
        <v>53</v>
      </c>
      <c r="HW50" s="3" t="s">
        <v>616</v>
      </c>
      <c r="IR50" s="63">
        <f t="shared" si="10"/>
        <v>0</v>
      </c>
      <c r="IS50" s="63">
        <f t="shared" si="11"/>
        <v>0</v>
      </c>
    </row>
    <row r="51" spans="1:253" x14ac:dyDescent="0.25">
      <c r="A51" s="61">
        <v>29</v>
      </c>
      <c r="B51" s="3" t="s">
        <v>51</v>
      </c>
      <c r="C51" s="3" t="s">
        <v>160</v>
      </c>
      <c r="D51" s="5" t="s">
        <v>161</v>
      </c>
      <c r="E51" s="3" t="s">
        <v>134</v>
      </c>
      <c r="F51" s="3" t="s">
        <v>50</v>
      </c>
      <c r="G51" s="38">
        <f>'Stavební rozpočet'!G50</f>
        <v>0.17027</v>
      </c>
      <c r="H51" s="38">
        <f>'Stavební rozpočet'!H50</f>
        <v>0</v>
      </c>
      <c r="I51" s="38">
        <f t="shared" si="6"/>
        <v>0</v>
      </c>
      <c r="J51" s="38">
        <f t="shared" si="7"/>
        <v>0</v>
      </c>
      <c r="K51" s="38">
        <f t="shared" si="8"/>
        <v>0</v>
      </c>
      <c r="L51" s="38">
        <f>'Stavební rozpočet'!N50</f>
        <v>0</v>
      </c>
      <c r="M51" s="62">
        <f t="shared" si="9"/>
        <v>0</v>
      </c>
      <c r="HV51" s="3" t="s">
        <v>53</v>
      </c>
      <c r="HW51" s="3" t="s">
        <v>616</v>
      </c>
      <c r="IR51" s="63">
        <f t="shared" si="10"/>
        <v>0</v>
      </c>
      <c r="IS51" s="63">
        <f t="shared" si="11"/>
        <v>0</v>
      </c>
    </row>
    <row r="52" spans="1:253" x14ac:dyDescent="0.25">
      <c r="A52" s="61">
        <v>30</v>
      </c>
      <c r="B52" s="3" t="s">
        <v>51</v>
      </c>
      <c r="C52" s="3" t="s">
        <v>163</v>
      </c>
      <c r="D52" s="5" t="s">
        <v>164</v>
      </c>
      <c r="E52" s="3" t="s">
        <v>134</v>
      </c>
      <c r="F52" s="3" t="s">
        <v>50</v>
      </c>
      <c r="G52" s="38">
        <f>'Stavební rozpočet'!G51</f>
        <v>0.1366</v>
      </c>
      <c r="H52" s="38">
        <f>'Stavební rozpočet'!H51</f>
        <v>0</v>
      </c>
      <c r="I52" s="38">
        <f t="shared" si="6"/>
        <v>0</v>
      </c>
      <c r="J52" s="38">
        <f t="shared" si="7"/>
        <v>0</v>
      </c>
      <c r="K52" s="38">
        <f t="shared" si="8"/>
        <v>0</v>
      </c>
      <c r="L52" s="38">
        <f>'Stavební rozpočet'!N51</f>
        <v>0</v>
      </c>
      <c r="M52" s="62">
        <f t="shared" si="9"/>
        <v>0</v>
      </c>
      <c r="HV52" s="3" t="s">
        <v>53</v>
      </c>
      <c r="HW52" s="3" t="s">
        <v>616</v>
      </c>
      <c r="IR52" s="63">
        <f t="shared" si="10"/>
        <v>0</v>
      </c>
      <c r="IS52" s="63">
        <f t="shared" si="11"/>
        <v>0</v>
      </c>
    </row>
    <row r="53" spans="1:253" x14ac:dyDescent="0.25">
      <c r="A53" s="59" t="s">
        <v>4</v>
      </c>
      <c r="B53" s="34" t="s">
        <v>51</v>
      </c>
      <c r="C53" s="34" t="s">
        <v>165</v>
      </c>
      <c r="D53" s="35" t="s">
        <v>166</v>
      </c>
      <c r="E53" s="34" t="s">
        <v>4</v>
      </c>
      <c r="F53" s="34" t="s">
        <v>4</v>
      </c>
      <c r="G53" s="13" t="s">
        <v>4</v>
      </c>
      <c r="H53" s="13" t="s">
        <v>4</v>
      </c>
      <c r="I53" s="1">
        <f>SUM(I54:I60)</f>
        <v>0</v>
      </c>
      <c r="J53" s="1">
        <f>SUM(J54:J60)</f>
        <v>0</v>
      </c>
      <c r="K53" s="1">
        <f>SUM(K54:K60)</f>
        <v>0</v>
      </c>
      <c r="L53" s="13" t="s">
        <v>4</v>
      </c>
      <c r="M53" s="60">
        <f>SUM(M54:M60)</f>
        <v>1.07</v>
      </c>
    </row>
    <row r="54" spans="1:253" x14ac:dyDescent="0.25">
      <c r="A54" s="61">
        <v>31</v>
      </c>
      <c r="B54" s="3" t="s">
        <v>51</v>
      </c>
      <c r="C54" s="3" t="s">
        <v>168</v>
      </c>
      <c r="D54" s="5" t="s">
        <v>169</v>
      </c>
      <c r="E54" s="3" t="s">
        <v>66</v>
      </c>
      <c r="F54" s="3" t="s">
        <v>646</v>
      </c>
      <c r="G54" s="38">
        <f>'Stavební rozpočet'!G53</f>
        <v>2</v>
      </c>
      <c r="H54" s="38">
        <f>'Stavební rozpočet'!H53</f>
        <v>0</v>
      </c>
      <c r="I54" s="38">
        <f t="shared" ref="I54:I60" si="12">ROUND(IR54*G54,2)</f>
        <v>0</v>
      </c>
      <c r="J54" s="38">
        <f t="shared" ref="J54:J60" si="13">ROUND(IS54*G54,2)</f>
        <v>0</v>
      </c>
      <c r="K54" s="38">
        <f t="shared" ref="K54:K60" si="14">ROUND(IR54*G54+IS54*G54,2)</f>
        <v>0</v>
      </c>
      <c r="L54" s="38">
        <f>'Stavební rozpočet'!N53</f>
        <v>0.1</v>
      </c>
      <c r="M54" s="62">
        <f t="shared" ref="M54:M60" si="15">L54*G54</f>
        <v>0.2</v>
      </c>
      <c r="HV54" s="3" t="s">
        <v>165</v>
      </c>
      <c r="HW54" s="3" t="s">
        <v>647</v>
      </c>
      <c r="IR54" s="63">
        <f t="shared" ref="IR54:IR60" si="16">H54*1</f>
        <v>0</v>
      </c>
      <c r="IS54" s="63">
        <f t="shared" ref="IS54:IS60" si="17">H54*(1-1)</f>
        <v>0</v>
      </c>
    </row>
    <row r="55" spans="1:253" x14ac:dyDescent="0.25">
      <c r="A55" s="61">
        <v>32</v>
      </c>
      <c r="B55" s="3" t="s">
        <v>51</v>
      </c>
      <c r="C55" s="3" t="s">
        <v>173</v>
      </c>
      <c r="D55" s="5" t="s">
        <v>174</v>
      </c>
      <c r="E55" s="3" t="s">
        <v>66</v>
      </c>
      <c r="F55" s="3" t="s">
        <v>648</v>
      </c>
      <c r="G55" s="38">
        <f>'Stavební rozpočet'!G55</f>
        <v>2</v>
      </c>
      <c r="H55" s="38">
        <f>'Stavební rozpočet'!H55</f>
        <v>0</v>
      </c>
      <c r="I55" s="38">
        <f t="shared" si="12"/>
        <v>0</v>
      </c>
      <c r="J55" s="38">
        <f t="shared" si="13"/>
        <v>0</v>
      </c>
      <c r="K55" s="38">
        <f t="shared" si="14"/>
        <v>0</v>
      </c>
      <c r="L55" s="38">
        <f>'Stavební rozpočet'!N55</f>
        <v>0.08</v>
      </c>
      <c r="M55" s="62">
        <f t="shared" si="15"/>
        <v>0.16</v>
      </c>
      <c r="HV55" s="3" t="s">
        <v>165</v>
      </c>
      <c r="HW55" s="3" t="s">
        <v>647</v>
      </c>
      <c r="IR55" s="63">
        <f t="shared" si="16"/>
        <v>0</v>
      </c>
      <c r="IS55" s="63">
        <f t="shared" si="17"/>
        <v>0</v>
      </c>
    </row>
    <row r="56" spans="1:253" x14ac:dyDescent="0.25">
      <c r="A56" s="61">
        <v>33</v>
      </c>
      <c r="B56" s="3" t="s">
        <v>51</v>
      </c>
      <c r="C56" s="3" t="s">
        <v>176</v>
      </c>
      <c r="D56" s="5" t="s">
        <v>177</v>
      </c>
      <c r="E56" s="3" t="s">
        <v>66</v>
      </c>
      <c r="F56" s="3" t="s">
        <v>649</v>
      </c>
      <c r="G56" s="38">
        <f>'Stavební rozpočet'!G57</f>
        <v>2</v>
      </c>
      <c r="H56" s="38">
        <f>'Stavební rozpočet'!H57</f>
        <v>0</v>
      </c>
      <c r="I56" s="38">
        <f t="shared" si="12"/>
        <v>0</v>
      </c>
      <c r="J56" s="38">
        <f t="shared" si="13"/>
        <v>0</v>
      </c>
      <c r="K56" s="38">
        <f t="shared" si="14"/>
        <v>0</v>
      </c>
      <c r="L56" s="38">
        <f>'Stavební rozpočet'!N57</f>
        <v>5.5E-2</v>
      </c>
      <c r="M56" s="62">
        <f t="shared" si="15"/>
        <v>0.11</v>
      </c>
      <c r="HV56" s="3" t="s">
        <v>165</v>
      </c>
      <c r="HW56" s="3" t="s">
        <v>647</v>
      </c>
      <c r="IR56" s="63">
        <f t="shared" si="16"/>
        <v>0</v>
      </c>
      <c r="IS56" s="63">
        <f t="shared" si="17"/>
        <v>0</v>
      </c>
    </row>
    <row r="57" spans="1:253" x14ac:dyDescent="0.25">
      <c r="A57" s="61">
        <v>34</v>
      </c>
      <c r="B57" s="3" t="s">
        <v>51</v>
      </c>
      <c r="C57" s="3" t="s">
        <v>179</v>
      </c>
      <c r="D57" s="5" t="s">
        <v>180</v>
      </c>
      <c r="E57" s="3" t="s">
        <v>66</v>
      </c>
      <c r="F57" s="3" t="s">
        <v>650</v>
      </c>
      <c r="G57" s="38">
        <f>'Stavební rozpočet'!G59</f>
        <v>6</v>
      </c>
      <c r="H57" s="38">
        <f>'Stavební rozpočet'!H59</f>
        <v>0</v>
      </c>
      <c r="I57" s="38">
        <f t="shared" si="12"/>
        <v>0</v>
      </c>
      <c r="J57" s="38">
        <f t="shared" si="13"/>
        <v>0</v>
      </c>
      <c r="K57" s="38">
        <f t="shared" si="14"/>
        <v>0</v>
      </c>
      <c r="L57" s="38">
        <f>'Stavební rozpočet'!N59</f>
        <v>2.5000000000000001E-2</v>
      </c>
      <c r="M57" s="62">
        <f t="shared" si="15"/>
        <v>0.15000000000000002</v>
      </c>
      <c r="HV57" s="3" t="s">
        <v>165</v>
      </c>
      <c r="HW57" s="3" t="s">
        <v>647</v>
      </c>
      <c r="IR57" s="63">
        <f t="shared" si="16"/>
        <v>0</v>
      </c>
      <c r="IS57" s="63">
        <f t="shared" si="17"/>
        <v>0</v>
      </c>
    </row>
    <row r="58" spans="1:253" x14ac:dyDescent="0.25">
      <c r="A58" s="61">
        <v>35</v>
      </c>
      <c r="B58" s="3" t="s">
        <v>51</v>
      </c>
      <c r="C58" s="3" t="s">
        <v>182</v>
      </c>
      <c r="D58" s="5" t="s">
        <v>183</v>
      </c>
      <c r="E58" s="3" t="s">
        <v>66</v>
      </c>
      <c r="F58" s="3" t="s">
        <v>651</v>
      </c>
      <c r="G58" s="38">
        <f>'Stavební rozpočet'!G61</f>
        <v>1</v>
      </c>
      <c r="H58" s="38">
        <f>'Stavební rozpočet'!H61</f>
        <v>0</v>
      </c>
      <c r="I58" s="38">
        <f t="shared" si="12"/>
        <v>0</v>
      </c>
      <c r="J58" s="38">
        <f t="shared" si="13"/>
        <v>0</v>
      </c>
      <c r="K58" s="38">
        <f t="shared" si="14"/>
        <v>0</v>
      </c>
      <c r="L58" s="38">
        <f>'Stavební rozpočet'!N61</f>
        <v>0.05</v>
      </c>
      <c r="M58" s="62">
        <f t="shared" si="15"/>
        <v>0.05</v>
      </c>
      <c r="HV58" s="3" t="s">
        <v>165</v>
      </c>
      <c r="HW58" s="3" t="s">
        <v>647</v>
      </c>
      <c r="IR58" s="63">
        <f t="shared" si="16"/>
        <v>0</v>
      </c>
      <c r="IS58" s="63">
        <f t="shared" si="17"/>
        <v>0</v>
      </c>
    </row>
    <row r="59" spans="1:253" x14ac:dyDescent="0.25">
      <c r="A59" s="61">
        <v>36</v>
      </c>
      <c r="B59" s="3" t="s">
        <v>51</v>
      </c>
      <c r="C59" s="3" t="s">
        <v>185</v>
      </c>
      <c r="D59" s="5" t="s">
        <v>186</v>
      </c>
      <c r="E59" s="3" t="s">
        <v>66</v>
      </c>
      <c r="F59" s="3" t="s">
        <v>652</v>
      </c>
      <c r="G59" s="38">
        <f>'Stavební rozpočet'!G63</f>
        <v>2</v>
      </c>
      <c r="H59" s="38">
        <f>'Stavební rozpočet'!H63</f>
        <v>0</v>
      </c>
      <c r="I59" s="38">
        <f t="shared" si="12"/>
        <v>0</v>
      </c>
      <c r="J59" s="38">
        <f t="shared" si="13"/>
        <v>0</v>
      </c>
      <c r="K59" s="38">
        <f t="shared" si="14"/>
        <v>0</v>
      </c>
      <c r="L59" s="38">
        <f>'Stavební rozpočet'!N63</f>
        <v>0.1</v>
      </c>
      <c r="M59" s="62">
        <f t="shared" si="15"/>
        <v>0.2</v>
      </c>
      <c r="HV59" s="3" t="s">
        <v>165</v>
      </c>
      <c r="HW59" s="3" t="s">
        <v>647</v>
      </c>
      <c r="IR59" s="63">
        <f t="shared" si="16"/>
        <v>0</v>
      </c>
      <c r="IS59" s="63">
        <f t="shared" si="17"/>
        <v>0</v>
      </c>
    </row>
    <row r="60" spans="1:253" x14ac:dyDescent="0.25">
      <c r="A60" s="61">
        <v>37</v>
      </c>
      <c r="B60" s="3" t="s">
        <v>51</v>
      </c>
      <c r="C60" s="3" t="s">
        <v>189</v>
      </c>
      <c r="D60" s="5" t="s">
        <v>190</v>
      </c>
      <c r="E60" s="3" t="s">
        <v>66</v>
      </c>
      <c r="F60" s="3" t="s">
        <v>653</v>
      </c>
      <c r="G60" s="38">
        <f>'Stavební rozpočet'!G65</f>
        <v>2</v>
      </c>
      <c r="H60" s="38">
        <f>'Stavební rozpočet'!H65</f>
        <v>0</v>
      </c>
      <c r="I60" s="38">
        <f t="shared" si="12"/>
        <v>0</v>
      </c>
      <c r="J60" s="38">
        <f t="shared" si="13"/>
        <v>0</v>
      </c>
      <c r="K60" s="38">
        <f t="shared" si="14"/>
        <v>0</v>
      </c>
      <c r="L60" s="38">
        <f>'Stavební rozpočet'!N65</f>
        <v>0.1</v>
      </c>
      <c r="M60" s="62">
        <f t="shared" si="15"/>
        <v>0.2</v>
      </c>
      <c r="HV60" s="3" t="s">
        <v>165</v>
      </c>
      <c r="HW60" s="3" t="s">
        <v>647</v>
      </c>
      <c r="IR60" s="63">
        <f t="shared" si="16"/>
        <v>0</v>
      </c>
      <c r="IS60" s="63">
        <f t="shared" si="17"/>
        <v>0</v>
      </c>
    </row>
    <row r="61" spans="1:253" x14ac:dyDescent="0.25">
      <c r="A61" s="59" t="s">
        <v>4</v>
      </c>
      <c r="B61" s="34" t="s">
        <v>51</v>
      </c>
      <c r="C61" s="34" t="s">
        <v>191</v>
      </c>
      <c r="D61" s="35" t="s">
        <v>192</v>
      </c>
      <c r="E61" s="34" t="s">
        <v>4</v>
      </c>
      <c r="F61" s="34" t="s">
        <v>4</v>
      </c>
      <c r="G61" s="13" t="s">
        <v>4</v>
      </c>
      <c r="H61" s="13" t="s">
        <v>4</v>
      </c>
      <c r="I61" s="1">
        <f>SUM(I62:I62)</f>
        <v>0</v>
      </c>
      <c r="J61" s="1">
        <f>SUM(J62:J62)</f>
        <v>0</v>
      </c>
      <c r="K61" s="1">
        <f>SUM(K62:K62)</f>
        <v>0</v>
      </c>
      <c r="L61" s="13" t="s">
        <v>4</v>
      </c>
      <c r="M61" s="60">
        <f>SUM(M62:M62)</f>
        <v>0</v>
      </c>
    </row>
    <row r="62" spans="1:253" x14ac:dyDescent="0.25">
      <c r="A62" s="61">
        <v>38</v>
      </c>
      <c r="B62" s="3" t="s">
        <v>51</v>
      </c>
      <c r="C62" s="3" t="s">
        <v>194</v>
      </c>
      <c r="D62" s="5" t="s">
        <v>195</v>
      </c>
      <c r="E62" s="3" t="s">
        <v>118</v>
      </c>
      <c r="F62" s="3" t="s">
        <v>55</v>
      </c>
      <c r="G62" s="38">
        <f>'Stavební rozpočet'!G68</f>
        <v>1</v>
      </c>
      <c r="H62" s="38">
        <f>'Stavební rozpočet'!H68</f>
        <v>0</v>
      </c>
      <c r="I62" s="38">
        <f>ROUND(IR62*G62,2)</f>
        <v>0</v>
      </c>
      <c r="J62" s="38">
        <f>ROUND(IS62*G62,2)</f>
        <v>0</v>
      </c>
      <c r="K62" s="38">
        <f>ROUND(IR62*G62+IS62*G62,2)</f>
        <v>0</v>
      </c>
      <c r="L62" s="38">
        <f>'Stavební rozpočet'!N68</f>
        <v>0</v>
      </c>
      <c r="M62" s="62">
        <f>L62*G62</f>
        <v>0</v>
      </c>
      <c r="HV62" s="3" t="s">
        <v>191</v>
      </c>
      <c r="HW62" s="3" t="s">
        <v>616</v>
      </c>
      <c r="IR62" s="63">
        <f>H62*0</f>
        <v>0</v>
      </c>
      <c r="IS62" s="63">
        <f>H62*(1-0)</f>
        <v>0</v>
      </c>
    </row>
    <row r="63" spans="1:253" x14ac:dyDescent="0.25">
      <c r="A63" s="59" t="s">
        <v>4</v>
      </c>
      <c r="B63" s="34" t="s">
        <v>51</v>
      </c>
      <c r="C63" s="34" t="s">
        <v>178</v>
      </c>
      <c r="D63" s="35" t="s">
        <v>197</v>
      </c>
      <c r="E63" s="34" t="s">
        <v>4</v>
      </c>
      <c r="F63" s="34" t="s">
        <v>4</v>
      </c>
      <c r="G63" s="13" t="s">
        <v>4</v>
      </c>
      <c r="H63" s="13" t="s">
        <v>4</v>
      </c>
      <c r="I63" s="1">
        <f>SUM(I64:I68)</f>
        <v>0</v>
      </c>
      <c r="J63" s="1">
        <f>SUM(J64:J68)</f>
        <v>0</v>
      </c>
      <c r="K63" s="1">
        <f>SUM(K64:K68)</f>
        <v>0</v>
      </c>
      <c r="L63" s="13" t="s">
        <v>4</v>
      </c>
      <c r="M63" s="60">
        <f>SUM(M64:M68)</f>
        <v>0.57779105999999991</v>
      </c>
    </row>
    <row r="64" spans="1:253" x14ac:dyDescent="0.25">
      <c r="A64" s="61">
        <v>39</v>
      </c>
      <c r="B64" s="3" t="s">
        <v>51</v>
      </c>
      <c r="C64" s="3" t="s">
        <v>199</v>
      </c>
      <c r="D64" s="5" t="s">
        <v>200</v>
      </c>
      <c r="E64" s="3" t="s">
        <v>58</v>
      </c>
      <c r="F64" s="3" t="s">
        <v>654</v>
      </c>
      <c r="G64" s="38">
        <f>'Stavební rozpočet'!G70</f>
        <v>1.2</v>
      </c>
      <c r="H64" s="38">
        <f>'Stavební rozpočet'!H70</f>
        <v>0</v>
      </c>
      <c r="I64" s="38">
        <f>ROUND(IR64*G64,2)</f>
        <v>0</v>
      </c>
      <c r="J64" s="38">
        <f>ROUND(IS64*G64,2)</f>
        <v>0</v>
      </c>
      <c r="K64" s="38">
        <f>ROUND(IR64*G64+IS64*G64,2)</f>
        <v>0</v>
      </c>
      <c r="L64" s="38">
        <f>'Stavební rozpočet'!N70</f>
        <v>9.2170000000000002E-2</v>
      </c>
      <c r="M64" s="62">
        <f>L64*G64</f>
        <v>0.11060399999999999</v>
      </c>
      <c r="HV64" s="3" t="s">
        <v>178</v>
      </c>
      <c r="HW64" s="3" t="s">
        <v>616</v>
      </c>
      <c r="IR64" s="63">
        <f>H64*0.581423948</f>
        <v>0</v>
      </c>
      <c r="IS64" s="63">
        <f>H64*(1-0.581423948)</f>
        <v>0</v>
      </c>
    </row>
    <row r="65" spans="1:253" x14ac:dyDescent="0.25">
      <c r="A65" s="61">
        <v>40</v>
      </c>
      <c r="B65" s="3" t="s">
        <v>51</v>
      </c>
      <c r="C65" s="3" t="s">
        <v>205</v>
      </c>
      <c r="D65" s="5" t="s">
        <v>206</v>
      </c>
      <c r="E65" s="3" t="s">
        <v>207</v>
      </c>
      <c r="F65" s="3" t="s">
        <v>655</v>
      </c>
      <c r="G65" s="38">
        <f>'Stavební rozpočet'!G72</f>
        <v>0.28699999999999998</v>
      </c>
      <c r="H65" s="38">
        <f>'Stavební rozpočet'!H72</f>
        <v>0</v>
      </c>
      <c r="I65" s="38">
        <f>ROUND(IR65*G65,2)</f>
        <v>0</v>
      </c>
      <c r="J65" s="38">
        <f>ROUND(IS65*G65,2)</f>
        <v>0</v>
      </c>
      <c r="K65" s="38">
        <f>ROUND(IR65*G65+IS65*G65,2)</f>
        <v>0</v>
      </c>
      <c r="L65" s="38">
        <f>'Stavební rozpočet'!N72</f>
        <v>0.76182000000000005</v>
      </c>
      <c r="M65" s="62">
        <f>L65*G65</f>
        <v>0.21864233999999999</v>
      </c>
      <c r="HV65" s="3" t="s">
        <v>178</v>
      </c>
      <c r="HW65" s="3" t="s">
        <v>616</v>
      </c>
      <c r="IR65" s="63">
        <f>H65*0.76184777</f>
        <v>0</v>
      </c>
      <c r="IS65" s="63">
        <f>H65*(1-0.76184777)</f>
        <v>0</v>
      </c>
    </row>
    <row r="66" spans="1:253" x14ac:dyDescent="0.25">
      <c r="A66" s="61">
        <v>41</v>
      </c>
      <c r="B66" s="3" t="s">
        <v>51</v>
      </c>
      <c r="C66" s="3" t="s">
        <v>210</v>
      </c>
      <c r="D66" s="5" t="s">
        <v>211</v>
      </c>
      <c r="E66" s="3" t="s">
        <v>58</v>
      </c>
      <c r="F66" s="3" t="s">
        <v>656</v>
      </c>
      <c r="G66" s="38">
        <f>'Stavební rozpočet'!G74</f>
        <v>6.6239999999999997</v>
      </c>
      <c r="H66" s="38">
        <f>'Stavební rozpočet'!H74</f>
        <v>0</v>
      </c>
      <c r="I66" s="38">
        <f>ROUND(IR66*G66,2)</f>
        <v>0</v>
      </c>
      <c r="J66" s="38">
        <f>ROUND(IS66*G66,2)</f>
        <v>0</v>
      </c>
      <c r="K66" s="38">
        <f>ROUND(IR66*G66+IS66*G66,2)</f>
        <v>0</v>
      </c>
      <c r="L66" s="38">
        <f>'Stavební rozpočet'!N74</f>
        <v>2.8680000000000001E-2</v>
      </c>
      <c r="M66" s="62">
        <f>L66*G66</f>
        <v>0.18997632</v>
      </c>
      <c r="HV66" s="3" t="s">
        <v>178</v>
      </c>
      <c r="HW66" s="3" t="s">
        <v>616</v>
      </c>
      <c r="IR66" s="63">
        <f>H66*0.558395415</f>
        <v>0</v>
      </c>
      <c r="IS66" s="63">
        <f>H66*(1-0.558395415)</f>
        <v>0</v>
      </c>
    </row>
    <row r="67" spans="1:253" x14ac:dyDescent="0.25">
      <c r="A67" s="61">
        <v>42</v>
      </c>
      <c r="B67" s="3" t="s">
        <v>51</v>
      </c>
      <c r="C67" s="3" t="s">
        <v>214</v>
      </c>
      <c r="D67" s="5" t="s">
        <v>215</v>
      </c>
      <c r="E67" s="3" t="s">
        <v>58</v>
      </c>
      <c r="F67" s="3" t="s">
        <v>657</v>
      </c>
      <c r="G67" s="38">
        <f>'Stavební rozpočet'!G76</f>
        <v>2.61</v>
      </c>
      <c r="H67" s="38">
        <f>'Stavební rozpočet'!H76</f>
        <v>0</v>
      </c>
      <c r="I67" s="38">
        <f>ROUND(IR67*G67,2)</f>
        <v>0</v>
      </c>
      <c r="J67" s="38">
        <f>ROUND(IS67*G67,2)</f>
        <v>0</v>
      </c>
      <c r="K67" s="38">
        <f>ROUND(IR67*G67+IS67*G67,2)</f>
        <v>0</v>
      </c>
      <c r="L67" s="38">
        <f>'Stavební rozpočet'!N76</f>
        <v>2.2440000000000002E-2</v>
      </c>
      <c r="M67" s="62">
        <f>L67*G67</f>
        <v>5.85684E-2</v>
      </c>
      <c r="HV67" s="3" t="s">
        <v>178</v>
      </c>
      <c r="HW67" s="3" t="s">
        <v>616</v>
      </c>
      <c r="IR67" s="63">
        <f>H67*0.445899559</f>
        <v>0</v>
      </c>
      <c r="IS67" s="63">
        <f>H67*(1-0.445899559)</f>
        <v>0</v>
      </c>
    </row>
    <row r="68" spans="1:253" x14ac:dyDescent="0.25">
      <c r="A68" s="61">
        <v>43</v>
      </c>
      <c r="B68" s="3" t="s">
        <v>51</v>
      </c>
      <c r="C68" s="3" t="s">
        <v>218</v>
      </c>
      <c r="D68" s="5" t="s">
        <v>219</v>
      </c>
      <c r="E68" s="3" t="s">
        <v>134</v>
      </c>
      <c r="F68" s="3" t="s">
        <v>50</v>
      </c>
      <c r="G68" s="38">
        <f>'Stavební rozpočet'!G78</f>
        <v>0.57779000000000003</v>
      </c>
      <c r="H68" s="38">
        <f>'Stavební rozpočet'!H78</f>
        <v>0</v>
      </c>
      <c r="I68" s="38">
        <f>ROUND(IR68*G68,2)</f>
        <v>0</v>
      </c>
      <c r="J68" s="38">
        <f>ROUND(IS68*G68,2)</f>
        <v>0</v>
      </c>
      <c r="K68" s="38">
        <f>ROUND(IR68*G68+IS68*G68,2)</f>
        <v>0</v>
      </c>
      <c r="L68" s="38">
        <f>'Stavební rozpočet'!N78</f>
        <v>0</v>
      </c>
      <c r="M68" s="62">
        <f>L68*G68</f>
        <v>0</v>
      </c>
      <c r="HV68" s="3" t="s">
        <v>178</v>
      </c>
      <c r="HW68" s="3" t="s">
        <v>616</v>
      </c>
      <c r="IR68" s="63">
        <f>H68*0</f>
        <v>0</v>
      </c>
      <c r="IS68" s="63">
        <f>H68*(1-0)</f>
        <v>0</v>
      </c>
    </row>
    <row r="69" spans="1:253" x14ac:dyDescent="0.25">
      <c r="A69" s="59" t="s">
        <v>4</v>
      </c>
      <c r="B69" s="34" t="s">
        <v>51</v>
      </c>
      <c r="C69" s="34" t="s">
        <v>209</v>
      </c>
      <c r="D69" s="35" t="s">
        <v>220</v>
      </c>
      <c r="E69" s="34" t="s">
        <v>4</v>
      </c>
      <c r="F69" s="34" t="s">
        <v>4</v>
      </c>
      <c r="G69" s="13" t="s">
        <v>4</v>
      </c>
      <c r="H69" s="13" t="s">
        <v>4</v>
      </c>
      <c r="I69" s="1">
        <f>SUM(I70:I75)</f>
        <v>0</v>
      </c>
      <c r="J69" s="1">
        <f>SUM(J70:J75)</f>
        <v>0</v>
      </c>
      <c r="K69" s="1">
        <f>SUM(K70:K75)</f>
        <v>0</v>
      </c>
      <c r="L69" s="13" t="s">
        <v>4</v>
      </c>
      <c r="M69" s="60">
        <f>SUM(M70:M75)</f>
        <v>0.33975636799999998</v>
      </c>
    </row>
    <row r="70" spans="1:253" ht="25.5" x14ac:dyDescent="0.25">
      <c r="A70" s="61">
        <v>44</v>
      </c>
      <c r="B70" s="3" t="s">
        <v>51</v>
      </c>
      <c r="C70" s="3" t="s">
        <v>222</v>
      </c>
      <c r="D70" s="5" t="s">
        <v>223</v>
      </c>
      <c r="E70" s="3" t="s">
        <v>58</v>
      </c>
      <c r="F70" s="3" t="s">
        <v>658</v>
      </c>
      <c r="G70" s="38">
        <f>'Stavební rozpočet'!G80</f>
        <v>21.102879999999999</v>
      </c>
      <c r="H70" s="38">
        <f>'Stavební rozpočet'!H80</f>
        <v>0</v>
      </c>
      <c r="I70" s="38">
        <f>ROUND(IR70*G70,2)</f>
        <v>0</v>
      </c>
      <c r="J70" s="38">
        <f>ROUND(IS70*G70,2)</f>
        <v>0</v>
      </c>
      <c r="K70" s="38">
        <f>ROUND(IR70*G70+IS70*G70,2)</f>
        <v>0</v>
      </c>
      <c r="L70" s="38">
        <f>'Stavební rozpočet'!N80</f>
        <v>1.61E-2</v>
      </c>
      <c r="M70" s="62">
        <f>L70*G70</f>
        <v>0.33975636799999998</v>
      </c>
      <c r="HV70" s="3" t="s">
        <v>209</v>
      </c>
      <c r="HW70" s="3" t="s">
        <v>616</v>
      </c>
      <c r="IR70" s="63">
        <f>H70*0.457732558</f>
        <v>0</v>
      </c>
      <c r="IS70" s="63">
        <f>H70*(1-0.457732558)</f>
        <v>0</v>
      </c>
    </row>
    <row r="71" spans="1:253" x14ac:dyDescent="0.25">
      <c r="A71" s="109" t="s">
        <v>50</v>
      </c>
      <c r="B71" s="110"/>
      <c r="C71" s="110"/>
      <c r="D71" s="110"/>
      <c r="E71" s="110"/>
      <c r="F71" s="3" t="s">
        <v>659</v>
      </c>
      <c r="G71" s="38">
        <v>3.2084999999999999</v>
      </c>
      <c r="H71" s="38">
        <f>'Stavební rozpočet'!H80</f>
        <v>0</v>
      </c>
      <c r="M71" s="64"/>
      <c r="HV71" s="3" t="s">
        <v>209</v>
      </c>
      <c r="HW71" s="3" t="s">
        <v>616</v>
      </c>
      <c r="IR71" s="63">
        <f>H71*0.457732558</f>
        <v>0</v>
      </c>
      <c r="IS71" s="63">
        <f>H71*(1-0.457732558)</f>
        <v>0</v>
      </c>
    </row>
    <row r="72" spans="1:253" x14ac:dyDescent="0.25">
      <c r="A72" s="109" t="s">
        <v>50</v>
      </c>
      <c r="B72" s="110"/>
      <c r="C72" s="110"/>
      <c r="D72" s="110"/>
      <c r="E72" s="110"/>
      <c r="F72" s="3" t="s">
        <v>660</v>
      </c>
      <c r="G72" s="38">
        <v>2.484</v>
      </c>
      <c r="H72" s="38">
        <f>'Stavební rozpočet'!H80</f>
        <v>0</v>
      </c>
      <c r="M72" s="64"/>
      <c r="HV72" s="3" t="s">
        <v>209</v>
      </c>
      <c r="HW72" s="3" t="s">
        <v>616</v>
      </c>
      <c r="IR72" s="63">
        <f>H72*0.457732558</f>
        <v>0</v>
      </c>
      <c r="IS72" s="63">
        <f>H72*(1-0.457732558)</f>
        <v>0</v>
      </c>
    </row>
    <row r="73" spans="1:253" x14ac:dyDescent="0.25">
      <c r="A73" s="109" t="s">
        <v>50</v>
      </c>
      <c r="B73" s="110"/>
      <c r="C73" s="110"/>
      <c r="D73" s="110"/>
      <c r="E73" s="110"/>
      <c r="F73" s="3" t="s">
        <v>661</v>
      </c>
      <c r="G73" s="38">
        <v>5</v>
      </c>
      <c r="H73" s="38">
        <f>'Stavební rozpočet'!H80</f>
        <v>0</v>
      </c>
      <c r="M73" s="64"/>
      <c r="HV73" s="3" t="s">
        <v>209</v>
      </c>
      <c r="HW73" s="3" t="s">
        <v>616</v>
      </c>
      <c r="IR73" s="63">
        <f>H73*0.457732558</f>
        <v>0</v>
      </c>
      <c r="IS73" s="63">
        <f>H73*(1-0.457732558)</f>
        <v>0</v>
      </c>
    </row>
    <row r="74" spans="1:253" x14ac:dyDescent="0.25">
      <c r="A74" s="61">
        <v>45</v>
      </c>
      <c r="B74" s="3" t="s">
        <v>51</v>
      </c>
      <c r="C74" s="3" t="s">
        <v>228</v>
      </c>
      <c r="D74" s="5" t="s">
        <v>229</v>
      </c>
      <c r="E74" s="3" t="s">
        <v>58</v>
      </c>
      <c r="F74" s="3" t="s">
        <v>662</v>
      </c>
      <c r="G74" s="38">
        <f>'Stavební rozpočet'!G82</f>
        <v>11.28</v>
      </c>
      <c r="H74" s="38">
        <f>'Stavební rozpočet'!H82</f>
        <v>0</v>
      </c>
      <c r="I74" s="38">
        <f>ROUND(IR74*G74,2)</f>
        <v>0</v>
      </c>
      <c r="J74" s="38">
        <f>ROUND(IS74*G74,2)</f>
        <v>0</v>
      </c>
      <c r="K74" s="38">
        <f>ROUND(IR74*G74+IS74*G74,2)</f>
        <v>0</v>
      </c>
      <c r="L74" s="38">
        <f>'Stavební rozpočet'!N82</f>
        <v>0</v>
      </c>
      <c r="M74" s="62">
        <f>L74*G74</f>
        <v>0</v>
      </c>
      <c r="HV74" s="3" t="s">
        <v>209</v>
      </c>
      <c r="HW74" s="3" t="s">
        <v>616</v>
      </c>
      <c r="IR74" s="63">
        <f>H74*0</f>
        <v>0</v>
      </c>
      <c r="IS74" s="63">
        <f>H74*(1-0)</f>
        <v>0</v>
      </c>
    </row>
    <row r="75" spans="1:253" x14ac:dyDescent="0.25">
      <c r="A75" s="61">
        <v>46</v>
      </c>
      <c r="B75" s="3" t="s">
        <v>51</v>
      </c>
      <c r="C75" s="3" t="s">
        <v>218</v>
      </c>
      <c r="D75" s="5" t="s">
        <v>219</v>
      </c>
      <c r="E75" s="3" t="s">
        <v>134</v>
      </c>
      <c r="F75" s="3" t="s">
        <v>50</v>
      </c>
      <c r="G75" s="38">
        <f>'Stavební rozpočet'!G84</f>
        <v>0.33976000000000001</v>
      </c>
      <c r="H75" s="38">
        <f>'Stavební rozpočet'!H84</f>
        <v>0</v>
      </c>
      <c r="I75" s="38">
        <f>ROUND(IR75*G75,2)</f>
        <v>0</v>
      </c>
      <c r="J75" s="38">
        <f>ROUND(IS75*G75,2)</f>
        <v>0</v>
      </c>
      <c r="K75" s="38">
        <f>ROUND(IR75*G75+IS75*G75,2)</f>
        <v>0</v>
      </c>
      <c r="L75" s="38">
        <f>'Stavební rozpočet'!N84</f>
        <v>0</v>
      </c>
      <c r="M75" s="62">
        <f>L75*G75</f>
        <v>0</v>
      </c>
      <c r="HV75" s="3" t="s">
        <v>209</v>
      </c>
      <c r="HW75" s="3" t="s">
        <v>616</v>
      </c>
      <c r="IR75" s="63">
        <f>H75*0</f>
        <v>0</v>
      </c>
      <c r="IS75" s="63">
        <f>H75*(1-0)</f>
        <v>0</v>
      </c>
    </row>
    <row r="76" spans="1:253" x14ac:dyDescent="0.25">
      <c r="A76" s="59" t="s">
        <v>4</v>
      </c>
      <c r="B76" s="34" t="s">
        <v>51</v>
      </c>
      <c r="C76" s="34" t="s">
        <v>232</v>
      </c>
      <c r="D76" s="35" t="s">
        <v>233</v>
      </c>
      <c r="E76" s="34" t="s">
        <v>4</v>
      </c>
      <c r="F76" s="34" t="s">
        <v>4</v>
      </c>
      <c r="G76" s="13" t="s">
        <v>4</v>
      </c>
      <c r="H76" s="13" t="s">
        <v>4</v>
      </c>
      <c r="I76" s="1">
        <f>SUM(I77:I84)</f>
        <v>0</v>
      </c>
      <c r="J76" s="1">
        <f>SUM(J77:J84)</f>
        <v>0</v>
      </c>
      <c r="K76" s="1">
        <f>SUM(K77:K84)</f>
        <v>0</v>
      </c>
      <c r="L76" s="13" t="s">
        <v>4</v>
      </c>
      <c r="M76" s="60">
        <f>SUM(M77:M84)</f>
        <v>0.64232860000000003</v>
      </c>
    </row>
    <row r="77" spans="1:253" x14ac:dyDescent="0.25">
      <c r="A77" s="61">
        <v>47</v>
      </c>
      <c r="B77" s="3" t="s">
        <v>51</v>
      </c>
      <c r="C77" s="3" t="s">
        <v>235</v>
      </c>
      <c r="D77" s="5" t="s">
        <v>236</v>
      </c>
      <c r="E77" s="3" t="s">
        <v>58</v>
      </c>
      <c r="F77" s="3" t="s">
        <v>663</v>
      </c>
      <c r="G77" s="38">
        <f>'Stavební rozpočet'!G86</f>
        <v>80.58</v>
      </c>
      <c r="H77" s="38">
        <f>'Stavební rozpočet'!H86</f>
        <v>0</v>
      </c>
      <c r="I77" s="38">
        <f>ROUND(IR77*G77,2)</f>
        <v>0</v>
      </c>
      <c r="J77" s="38">
        <f>ROUND(IS77*G77,2)</f>
        <v>0</v>
      </c>
      <c r="K77" s="38">
        <f>ROUND(IR77*G77+IS77*G77,2)</f>
        <v>0</v>
      </c>
      <c r="L77" s="38">
        <f>'Stavební rozpočet'!N86</f>
        <v>3.6700000000000001E-3</v>
      </c>
      <c r="M77" s="62">
        <f>L77*G77</f>
        <v>0.29572860000000001</v>
      </c>
      <c r="HV77" s="3" t="s">
        <v>232</v>
      </c>
      <c r="HW77" s="3" t="s">
        <v>616</v>
      </c>
      <c r="IR77" s="63">
        <f>H77*0.265633803</f>
        <v>0</v>
      </c>
      <c r="IS77" s="63">
        <f>H77*(1-0.265633803)</f>
        <v>0</v>
      </c>
    </row>
    <row r="78" spans="1:253" ht="13.5" customHeight="1" x14ac:dyDescent="0.25">
      <c r="A78" s="42"/>
      <c r="D78" s="5" t="s">
        <v>239</v>
      </c>
      <c r="M78" s="64"/>
    </row>
    <row r="79" spans="1:253" x14ac:dyDescent="0.25">
      <c r="A79" s="109" t="s">
        <v>50</v>
      </c>
      <c r="B79" s="110"/>
      <c r="C79" s="110"/>
      <c r="D79" s="110"/>
      <c r="E79" s="110"/>
      <c r="F79" s="3" t="s">
        <v>664</v>
      </c>
      <c r="G79" s="38">
        <v>20.53</v>
      </c>
      <c r="H79" s="38">
        <f>'Stavební rozpočet'!H86</f>
        <v>0</v>
      </c>
      <c r="M79" s="64"/>
      <c r="HV79" s="3" t="s">
        <v>232</v>
      </c>
      <c r="HW79" s="3" t="s">
        <v>616</v>
      </c>
      <c r="IR79" s="63">
        <f>H79*0.265633803</f>
        <v>0</v>
      </c>
      <c r="IS79" s="63">
        <f>H79*(1-0.265633803)</f>
        <v>0</v>
      </c>
    </row>
    <row r="80" spans="1:253" x14ac:dyDescent="0.25">
      <c r="A80" s="109" t="s">
        <v>50</v>
      </c>
      <c r="B80" s="110"/>
      <c r="C80" s="110"/>
      <c r="D80" s="110"/>
      <c r="E80" s="110"/>
      <c r="F80" s="3" t="s">
        <v>665</v>
      </c>
      <c r="G80" s="38">
        <v>17.940000000000001</v>
      </c>
      <c r="H80" s="38">
        <f>'Stavební rozpočet'!H86</f>
        <v>0</v>
      </c>
      <c r="M80" s="64"/>
      <c r="HV80" s="3" t="s">
        <v>232</v>
      </c>
      <c r="HW80" s="3" t="s">
        <v>616</v>
      </c>
      <c r="IR80" s="63">
        <f>H80*0.265633803</f>
        <v>0</v>
      </c>
      <c r="IS80" s="63">
        <f>H80*(1-0.265633803)</f>
        <v>0</v>
      </c>
    </row>
    <row r="81" spans="1:253" x14ac:dyDescent="0.25">
      <c r="A81" s="61">
        <v>48</v>
      </c>
      <c r="B81" s="3" t="s">
        <v>51</v>
      </c>
      <c r="C81" s="3" t="s">
        <v>242</v>
      </c>
      <c r="D81" s="5" t="s">
        <v>243</v>
      </c>
      <c r="E81" s="3" t="s">
        <v>100</v>
      </c>
      <c r="F81" s="3" t="s">
        <v>666</v>
      </c>
      <c r="G81" s="38">
        <f>'Stavební rozpočet'!G89</f>
        <v>20</v>
      </c>
      <c r="H81" s="38">
        <f>'Stavební rozpočet'!H89</f>
        <v>0</v>
      </c>
      <c r="I81" s="38">
        <f>ROUND(IR81*G81,2)</f>
        <v>0</v>
      </c>
      <c r="J81" s="38">
        <f>ROUND(IS81*G81,2)</f>
        <v>0</v>
      </c>
      <c r="K81" s="38">
        <f>ROUND(IR81*G81+IS81*G81,2)</f>
        <v>0</v>
      </c>
      <c r="L81" s="38">
        <f>'Stavební rozpočet'!N89</f>
        <v>1.7330000000000002E-2</v>
      </c>
      <c r="M81" s="62">
        <f>L81*G81</f>
        <v>0.34660000000000002</v>
      </c>
      <c r="HV81" s="3" t="s">
        <v>232</v>
      </c>
      <c r="HW81" s="3" t="s">
        <v>616</v>
      </c>
      <c r="IR81" s="63">
        <f>H81*0.420807389</f>
        <v>0</v>
      </c>
      <c r="IS81" s="63">
        <f>H81*(1-0.420807389)</f>
        <v>0</v>
      </c>
    </row>
    <row r="82" spans="1:253" ht="13.5" customHeight="1" x14ac:dyDescent="0.25">
      <c r="A82" s="42"/>
      <c r="D82" s="5" t="s">
        <v>244</v>
      </c>
      <c r="M82" s="64"/>
    </row>
    <row r="83" spans="1:253" x14ac:dyDescent="0.25">
      <c r="A83" s="109" t="s">
        <v>50</v>
      </c>
      <c r="B83" s="110"/>
      <c r="C83" s="110"/>
      <c r="D83" s="110"/>
      <c r="E83" s="110"/>
      <c r="F83" s="3" t="s">
        <v>667</v>
      </c>
      <c r="G83" s="38">
        <v>8</v>
      </c>
      <c r="H83" s="38">
        <f>'Stavební rozpočet'!H89</f>
        <v>0</v>
      </c>
      <c r="M83" s="64"/>
      <c r="HV83" s="3" t="s">
        <v>232</v>
      </c>
      <c r="HW83" s="3" t="s">
        <v>616</v>
      </c>
      <c r="IR83" s="63">
        <f>H83*0.420807389</f>
        <v>0</v>
      </c>
      <c r="IS83" s="63">
        <f>H83*(1-0.420807389)</f>
        <v>0</v>
      </c>
    </row>
    <row r="84" spans="1:253" x14ac:dyDescent="0.25">
      <c r="A84" s="61">
        <v>49</v>
      </c>
      <c r="B84" s="3" t="s">
        <v>51</v>
      </c>
      <c r="C84" s="3" t="s">
        <v>218</v>
      </c>
      <c r="D84" s="5" t="s">
        <v>219</v>
      </c>
      <c r="E84" s="3" t="s">
        <v>134</v>
      </c>
      <c r="F84" s="3" t="s">
        <v>50</v>
      </c>
      <c r="G84" s="38">
        <f>'Stavební rozpočet'!G92</f>
        <v>0.64232999999999996</v>
      </c>
      <c r="H84" s="38">
        <f>'Stavební rozpočet'!H92</f>
        <v>0</v>
      </c>
      <c r="I84" s="38">
        <f>ROUND(IR84*G84,2)</f>
        <v>0</v>
      </c>
      <c r="J84" s="38">
        <f>ROUND(IS84*G84,2)</f>
        <v>0</v>
      </c>
      <c r="K84" s="38">
        <f>ROUND(IR84*G84+IS84*G84,2)</f>
        <v>0</v>
      </c>
      <c r="L84" s="38">
        <f>'Stavební rozpočet'!N92</f>
        <v>0</v>
      </c>
      <c r="M84" s="62">
        <f>L84*G84</f>
        <v>0</v>
      </c>
      <c r="HV84" s="3" t="s">
        <v>232</v>
      </c>
      <c r="HW84" s="3" t="s">
        <v>616</v>
      </c>
      <c r="IR84" s="63">
        <f>H84*0</f>
        <v>0</v>
      </c>
      <c r="IS84" s="63">
        <f>H84*(1-0)</f>
        <v>0</v>
      </c>
    </row>
    <row r="85" spans="1:253" x14ac:dyDescent="0.25">
      <c r="A85" s="59" t="s">
        <v>4</v>
      </c>
      <c r="B85" s="34" t="s">
        <v>51</v>
      </c>
      <c r="C85" s="34" t="s">
        <v>247</v>
      </c>
      <c r="D85" s="35" t="s">
        <v>248</v>
      </c>
      <c r="E85" s="34" t="s">
        <v>4</v>
      </c>
      <c r="F85" s="34" t="s">
        <v>4</v>
      </c>
      <c r="G85" s="13" t="s">
        <v>4</v>
      </c>
      <c r="H85" s="13" t="s">
        <v>4</v>
      </c>
      <c r="I85" s="1">
        <f>SUM(I86:I90)</f>
        <v>0</v>
      </c>
      <c r="J85" s="1">
        <f>SUM(J86:J90)</f>
        <v>0</v>
      </c>
      <c r="K85" s="1">
        <f>SUM(K86:K90)</f>
        <v>0</v>
      </c>
      <c r="L85" s="13" t="s">
        <v>4</v>
      </c>
      <c r="M85" s="60">
        <f>SUM(M86:M90)</f>
        <v>0.30750135000000001</v>
      </c>
    </row>
    <row r="86" spans="1:253" x14ac:dyDescent="0.25">
      <c r="A86" s="61">
        <v>50</v>
      </c>
      <c r="B86" s="3" t="s">
        <v>51</v>
      </c>
      <c r="C86" s="3" t="s">
        <v>250</v>
      </c>
      <c r="D86" s="5" t="s">
        <v>251</v>
      </c>
      <c r="E86" s="3" t="s">
        <v>58</v>
      </c>
      <c r="F86" s="3" t="s">
        <v>668</v>
      </c>
      <c r="G86" s="38">
        <f>'Stavební rozpočet'!G94</f>
        <v>11.4825</v>
      </c>
      <c r="H86" s="38">
        <f>'Stavební rozpočet'!H94</f>
        <v>0</v>
      </c>
      <c r="I86" s="38">
        <f>ROUND(IR86*G86,2)</f>
        <v>0</v>
      </c>
      <c r="J86" s="38">
        <f>ROUND(IS86*G86,2)</f>
        <v>0</v>
      </c>
      <c r="K86" s="38">
        <f>ROUND(IR86*G86+IS86*G86,2)</f>
        <v>0</v>
      </c>
      <c r="L86" s="38">
        <f>'Stavební rozpočet'!N94</f>
        <v>0</v>
      </c>
      <c r="M86" s="62">
        <f>L86*G86</f>
        <v>0</v>
      </c>
      <c r="HV86" s="3" t="s">
        <v>247</v>
      </c>
      <c r="HW86" s="3" t="s">
        <v>616</v>
      </c>
      <c r="IR86" s="63">
        <f>H86*0</f>
        <v>0</v>
      </c>
      <c r="IS86" s="63">
        <f>H86*(1-0)</f>
        <v>0</v>
      </c>
    </row>
    <row r="87" spans="1:253" x14ac:dyDescent="0.25">
      <c r="A87" s="109" t="s">
        <v>50</v>
      </c>
      <c r="B87" s="110"/>
      <c r="C87" s="110"/>
      <c r="D87" s="110"/>
      <c r="E87" s="110"/>
      <c r="F87" s="3" t="s">
        <v>669</v>
      </c>
      <c r="G87" s="38">
        <v>2.4300000000000002</v>
      </c>
      <c r="H87" s="38">
        <f>'Stavební rozpočet'!H94</f>
        <v>0</v>
      </c>
      <c r="M87" s="64"/>
      <c r="HV87" s="3" t="s">
        <v>247</v>
      </c>
      <c r="HW87" s="3" t="s">
        <v>616</v>
      </c>
      <c r="IR87" s="63">
        <f>H87*0</f>
        <v>0</v>
      </c>
      <c r="IS87" s="63">
        <f>H87*(1-0)</f>
        <v>0</v>
      </c>
    </row>
    <row r="88" spans="1:253" x14ac:dyDescent="0.25">
      <c r="A88" s="61">
        <v>51</v>
      </c>
      <c r="B88" s="3" t="s">
        <v>51</v>
      </c>
      <c r="C88" s="3" t="s">
        <v>255</v>
      </c>
      <c r="D88" s="5" t="s">
        <v>256</v>
      </c>
      <c r="E88" s="3" t="s">
        <v>58</v>
      </c>
      <c r="F88" s="3" t="s">
        <v>670</v>
      </c>
      <c r="G88" s="38">
        <f>'Stavební rozpočet'!G96</f>
        <v>11.4825</v>
      </c>
      <c r="H88" s="38">
        <f>'Stavební rozpočet'!H96</f>
        <v>0</v>
      </c>
      <c r="I88" s="38">
        <f>ROUND(IR88*G88,2)</f>
        <v>0</v>
      </c>
      <c r="J88" s="38">
        <f>ROUND(IS88*G88,2)</f>
        <v>0</v>
      </c>
      <c r="K88" s="38">
        <f>ROUND(IR88*G88+IS88*G88,2)</f>
        <v>0</v>
      </c>
      <c r="L88" s="38">
        <f>'Stavební rozpočet'!N96</f>
        <v>2.6780000000000002E-2</v>
      </c>
      <c r="M88" s="62">
        <f>L88*G88</f>
        <v>0.30750135000000001</v>
      </c>
      <c r="HV88" s="3" t="s">
        <v>247</v>
      </c>
      <c r="HW88" s="3" t="s">
        <v>616</v>
      </c>
      <c r="IR88" s="63">
        <f>H88*0.849974937</f>
        <v>0</v>
      </c>
      <c r="IS88" s="63">
        <f>H88*(1-0.849974937)</f>
        <v>0</v>
      </c>
    </row>
    <row r="89" spans="1:253" x14ac:dyDescent="0.25">
      <c r="A89" s="109" t="s">
        <v>50</v>
      </c>
      <c r="B89" s="110"/>
      <c r="C89" s="110"/>
      <c r="D89" s="110"/>
      <c r="E89" s="110"/>
      <c r="F89" s="3" t="s">
        <v>669</v>
      </c>
      <c r="G89" s="38">
        <v>2.4300000000000002</v>
      </c>
      <c r="H89" s="38">
        <f>'Stavební rozpočet'!H96</f>
        <v>0</v>
      </c>
      <c r="M89" s="64"/>
      <c r="HV89" s="3" t="s">
        <v>247</v>
      </c>
      <c r="HW89" s="3" t="s">
        <v>616</v>
      </c>
      <c r="IR89" s="63">
        <f>H89*0.849974937</f>
        <v>0</v>
      </c>
      <c r="IS89" s="63">
        <f>H89*(1-0.849974937)</f>
        <v>0</v>
      </c>
    </row>
    <row r="90" spans="1:253" x14ac:dyDescent="0.25">
      <c r="A90" s="61">
        <v>52</v>
      </c>
      <c r="B90" s="3" t="s">
        <v>51</v>
      </c>
      <c r="C90" s="3" t="s">
        <v>218</v>
      </c>
      <c r="D90" s="5" t="s">
        <v>219</v>
      </c>
      <c r="E90" s="3" t="s">
        <v>134</v>
      </c>
      <c r="F90" s="3" t="s">
        <v>50</v>
      </c>
      <c r="G90" s="38">
        <f>'Stavební rozpočet'!G97</f>
        <v>0.3075</v>
      </c>
      <c r="H90" s="38">
        <f>'Stavební rozpočet'!H97</f>
        <v>0</v>
      </c>
      <c r="I90" s="38">
        <f>ROUND(IR90*G90,2)</f>
        <v>0</v>
      </c>
      <c r="J90" s="38">
        <f>ROUND(IS90*G90,2)</f>
        <v>0</v>
      </c>
      <c r="K90" s="38">
        <f>ROUND(IR90*G90+IS90*G90,2)</f>
        <v>0</v>
      </c>
      <c r="L90" s="38">
        <f>'Stavební rozpočet'!N97</f>
        <v>0</v>
      </c>
      <c r="M90" s="62">
        <f>L90*G90</f>
        <v>0</v>
      </c>
      <c r="HV90" s="3" t="s">
        <v>247</v>
      </c>
      <c r="HW90" s="3" t="s">
        <v>616</v>
      </c>
      <c r="IR90" s="63">
        <f>H90*0</f>
        <v>0</v>
      </c>
      <c r="IS90" s="63">
        <f>H90*(1-0)</f>
        <v>0</v>
      </c>
    </row>
    <row r="91" spans="1:253" x14ac:dyDescent="0.25">
      <c r="A91" s="59" t="s">
        <v>4</v>
      </c>
      <c r="B91" s="34" t="s">
        <v>51</v>
      </c>
      <c r="C91" s="34" t="s">
        <v>258</v>
      </c>
      <c r="D91" s="35" t="s">
        <v>259</v>
      </c>
      <c r="E91" s="34" t="s">
        <v>4</v>
      </c>
      <c r="F91" s="34" t="s">
        <v>4</v>
      </c>
      <c r="G91" s="13" t="s">
        <v>4</v>
      </c>
      <c r="H91" s="13" t="s">
        <v>4</v>
      </c>
      <c r="I91" s="1">
        <f>SUM(I92:I100)</f>
        <v>0</v>
      </c>
      <c r="J91" s="1">
        <f>SUM(J92:J100)</f>
        <v>0</v>
      </c>
      <c r="K91" s="1">
        <f>SUM(K92:K100)</f>
        <v>0</v>
      </c>
      <c r="L91" s="13" t="s">
        <v>4</v>
      </c>
      <c r="M91" s="60">
        <f>SUM(M92:M100)</f>
        <v>7.8581150000000002E-2</v>
      </c>
    </row>
    <row r="92" spans="1:253" x14ac:dyDescent="0.25">
      <c r="A92" s="61">
        <v>53</v>
      </c>
      <c r="B92" s="3" t="s">
        <v>51</v>
      </c>
      <c r="C92" s="3" t="s">
        <v>261</v>
      </c>
      <c r="D92" s="5" t="s">
        <v>262</v>
      </c>
      <c r="E92" s="3" t="s">
        <v>58</v>
      </c>
      <c r="F92" s="3" t="s">
        <v>671</v>
      </c>
      <c r="G92" s="38">
        <f>'Stavební rozpočet'!G99</f>
        <v>21.7075</v>
      </c>
      <c r="H92" s="38">
        <f>'Stavební rozpočet'!H99</f>
        <v>0</v>
      </c>
      <c r="I92" s="38">
        <f>ROUND(IR92*G92,2)</f>
        <v>0</v>
      </c>
      <c r="J92" s="38">
        <f>ROUND(IS92*G92,2)</f>
        <v>0</v>
      </c>
      <c r="K92" s="38">
        <f>ROUND(IR92*G92+IS92*G92,2)</f>
        <v>0</v>
      </c>
      <c r="L92" s="38">
        <f>'Stavební rozpočet'!N99</f>
        <v>2.2000000000000001E-4</v>
      </c>
      <c r="M92" s="62">
        <f>L92*G92</f>
        <v>4.7756500000000002E-3</v>
      </c>
      <c r="HV92" s="3" t="s">
        <v>258</v>
      </c>
      <c r="HW92" s="3" t="s">
        <v>616</v>
      </c>
      <c r="IR92" s="63">
        <f>H92*0.424635518</f>
        <v>0</v>
      </c>
      <c r="IS92" s="63">
        <f>H92*(1-0.424635518)</f>
        <v>0</v>
      </c>
    </row>
    <row r="93" spans="1:253" ht="13.5" customHeight="1" x14ac:dyDescent="0.25">
      <c r="A93" s="42"/>
      <c r="D93" s="5" t="s">
        <v>265</v>
      </c>
      <c r="M93" s="64"/>
    </row>
    <row r="94" spans="1:253" x14ac:dyDescent="0.25">
      <c r="A94" s="109" t="s">
        <v>50</v>
      </c>
      <c r="B94" s="110"/>
      <c r="C94" s="110"/>
      <c r="D94" s="110"/>
      <c r="E94" s="110"/>
      <c r="F94" s="3" t="s">
        <v>672</v>
      </c>
      <c r="G94" s="38">
        <v>1.2150000000000001</v>
      </c>
      <c r="H94" s="38">
        <f>'Stavební rozpočet'!H99</f>
        <v>0</v>
      </c>
      <c r="M94" s="64"/>
      <c r="HV94" s="3" t="s">
        <v>258</v>
      </c>
      <c r="HW94" s="3" t="s">
        <v>616</v>
      </c>
      <c r="IR94" s="63">
        <f>H94*0.424635518</f>
        <v>0</v>
      </c>
      <c r="IS94" s="63">
        <f>H94*(1-0.424635518)</f>
        <v>0</v>
      </c>
    </row>
    <row r="95" spans="1:253" x14ac:dyDescent="0.25">
      <c r="A95" s="109" t="s">
        <v>50</v>
      </c>
      <c r="B95" s="110"/>
      <c r="C95" s="110"/>
      <c r="D95" s="110"/>
      <c r="E95" s="110"/>
      <c r="F95" s="3" t="s">
        <v>673</v>
      </c>
      <c r="G95" s="38">
        <v>11.44</v>
      </c>
      <c r="H95" s="38">
        <f>'Stavební rozpočet'!H99</f>
        <v>0</v>
      </c>
      <c r="M95" s="64"/>
      <c r="HV95" s="3" t="s">
        <v>258</v>
      </c>
      <c r="HW95" s="3" t="s">
        <v>616</v>
      </c>
      <c r="IR95" s="63">
        <f>H95*0.424635518</f>
        <v>0</v>
      </c>
      <c r="IS95" s="63">
        <f>H95*(1-0.424635518)</f>
        <v>0</v>
      </c>
    </row>
    <row r="96" spans="1:253" x14ac:dyDescent="0.25">
      <c r="A96" s="61">
        <v>54</v>
      </c>
      <c r="B96" s="3" t="s">
        <v>51</v>
      </c>
      <c r="C96" s="3" t="s">
        <v>267</v>
      </c>
      <c r="D96" s="5" t="s">
        <v>268</v>
      </c>
      <c r="E96" s="3" t="s">
        <v>58</v>
      </c>
      <c r="F96" s="3" t="s">
        <v>671</v>
      </c>
      <c r="G96" s="38">
        <f>'Stavební rozpočet'!G101</f>
        <v>21.7075</v>
      </c>
      <c r="H96" s="38">
        <f>'Stavební rozpočet'!H101</f>
        <v>0</v>
      </c>
      <c r="I96" s="38">
        <f>ROUND(IR96*G96,2)</f>
        <v>0</v>
      </c>
      <c r="J96" s="38">
        <f>ROUND(IS96*G96,2)</f>
        <v>0</v>
      </c>
      <c r="K96" s="38">
        <f>ROUND(IR96*G96+IS96*G96,2)</f>
        <v>0</v>
      </c>
      <c r="L96" s="38">
        <f>'Stavební rozpočet'!N101</f>
        <v>3.3999999999999998E-3</v>
      </c>
      <c r="M96" s="62">
        <f>L96*G96</f>
        <v>7.3805499999999996E-2</v>
      </c>
      <c r="HV96" s="3" t="s">
        <v>258</v>
      </c>
      <c r="HW96" s="3" t="s">
        <v>616</v>
      </c>
      <c r="IR96" s="63">
        <f>H96*0.637914201</f>
        <v>0</v>
      </c>
      <c r="IS96" s="63">
        <f>H96*(1-0.637914201)</f>
        <v>0</v>
      </c>
    </row>
    <row r="97" spans="1:253" ht="13.5" customHeight="1" x14ac:dyDescent="0.25">
      <c r="A97" s="42"/>
      <c r="D97" s="5" t="s">
        <v>269</v>
      </c>
      <c r="M97" s="64"/>
    </row>
    <row r="98" spans="1:253" x14ac:dyDescent="0.25">
      <c r="A98" s="109" t="s">
        <v>50</v>
      </c>
      <c r="B98" s="110"/>
      <c r="C98" s="110"/>
      <c r="D98" s="110"/>
      <c r="E98" s="110"/>
      <c r="F98" s="3" t="s">
        <v>672</v>
      </c>
      <c r="G98" s="38">
        <v>1.2150000000000001</v>
      </c>
      <c r="H98" s="38">
        <f>'Stavební rozpočet'!H101</f>
        <v>0</v>
      </c>
      <c r="M98" s="64"/>
      <c r="HV98" s="3" t="s">
        <v>258</v>
      </c>
      <c r="HW98" s="3" t="s">
        <v>616</v>
      </c>
      <c r="IR98" s="63">
        <f>H98*0.637914201</f>
        <v>0</v>
      </c>
      <c r="IS98" s="63">
        <f>H98*(1-0.637914201)</f>
        <v>0</v>
      </c>
    </row>
    <row r="99" spans="1:253" x14ac:dyDescent="0.25">
      <c r="A99" s="109" t="s">
        <v>50</v>
      </c>
      <c r="B99" s="110"/>
      <c r="C99" s="110"/>
      <c r="D99" s="110"/>
      <c r="E99" s="110"/>
      <c r="F99" s="3" t="s">
        <v>673</v>
      </c>
      <c r="G99" s="38">
        <v>11.44</v>
      </c>
      <c r="H99" s="38">
        <f>'Stavební rozpočet'!H101</f>
        <v>0</v>
      </c>
      <c r="M99" s="64"/>
      <c r="HV99" s="3" t="s">
        <v>258</v>
      </c>
      <c r="HW99" s="3" t="s">
        <v>616</v>
      </c>
      <c r="IR99" s="63">
        <f>H99*0.637914201</f>
        <v>0</v>
      </c>
      <c r="IS99" s="63">
        <f>H99*(1-0.637914201)</f>
        <v>0</v>
      </c>
    </row>
    <row r="100" spans="1:253" x14ac:dyDescent="0.25">
      <c r="A100" s="61">
        <v>55</v>
      </c>
      <c r="B100" s="3" t="s">
        <v>51</v>
      </c>
      <c r="C100" s="3" t="s">
        <v>272</v>
      </c>
      <c r="D100" s="5" t="s">
        <v>273</v>
      </c>
      <c r="E100" s="3" t="s">
        <v>134</v>
      </c>
      <c r="F100" s="3" t="s">
        <v>50</v>
      </c>
      <c r="G100" s="38">
        <f>'Stavební rozpočet'!G104</f>
        <v>7.8579999999999997E-2</v>
      </c>
      <c r="H100" s="38">
        <f>'Stavební rozpočet'!H104</f>
        <v>0</v>
      </c>
      <c r="I100" s="38">
        <f>ROUND(IR100*G100,2)</f>
        <v>0</v>
      </c>
      <c r="J100" s="38">
        <f>ROUND(IS100*G100,2)</f>
        <v>0</v>
      </c>
      <c r="K100" s="38">
        <f>ROUND(IR100*G100+IS100*G100,2)</f>
        <v>0</v>
      </c>
      <c r="L100" s="38">
        <f>'Stavební rozpočet'!N104</f>
        <v>0</v>
      </c>
      <c r="M100" s="62">
        <f>L100*G100</f>
        <v>0</v>
      </c>
      <c r="HV100" s="3" t="s">
        <v>258</v>
      </c>
      <c r="HW100" s="3" t="s">
        <v>616</v>
      </c>
      <c r="IR100" s="63">
        <f>H100*0</f>
        <v>0</v>
      </c>
      <c r="IS100" s="63">
        <f>H100*(1-0)</f>
        <v>0</v>
      </c>
    </row>
    <row r="101" spans="1:253" x14ac:dyDescent="0.25">
      <c r="A101" s="59" t="s">
        <v>4</v>
      </c>
      <c r="B101" s="34" t="s">
        <v>51</v>
      </c>
      <c r="C101" s="34" t="s">
        <v>274</v>
      </c>
      <c r="D101" s="35" t="s">
        <v>275</v>
      </c>
      <c r="E101" s="34" t="s">
        <v>4</v>
      </c>
      <c r="F101" s="34" t="s">
        <v>4</v>
      </c>
      <c r="G101" s="13" t="s">
        <v>4</v>
      </c>
      <c r="H101" s="13" t="s">
        <v>4</v>
      </c>
      <c r="I101" s="1">
        <f>SUM(I102:I111)</f>
        <v>0</v>
      </c>
      <c r="J101" s="1">
        <f>SUM(J102:J111)</f>
        <v>0</v>
      </c>
      <c r="K101" s="1">
        <f>SUM(K102:K111)</f>
        <v>0</v>
      </c>
      <c r="L101" s="13" t="s">
        <v>4</v>
      </c>
      <c r="M101" s="60">
        <f>SUM(M102:M111)</f>
        <v>7.7299999999999999E-3</v>
      </c>
    </row>
    <row r="102" spans="1:253" x14ac:dyDescent="0.25">
      <c r="A102" s="61">
        <v>56</v>
      </c>
      <c r="B102" s="3" t="s">
        <v>51</v>
      </c>
      <c r="C102" s="3" t="s">
        <v>277</v>
      </c>
      <c r="D102" s="5" t="s">
        <v>278</v>
      </c>
      <c r="E102" s="3" t="s">
        <v>100</v>
      </c>
      <c r="F102" s="3" t="s">
        <v>674</v>
      </c>
      <c r="G102" s="38">
        <f>'Stavební rozpočet'!G106</f>
        <v>3</v>
      </c>
      <c r="H102" s="38">
        <f>'Stavební rozpočet'!H106</f>
        <v>0</v>
      </c>
      <c r="I102" s="38">
        <f t="shared" ref="I102:I108" si="18">ROUND(IR102*G102,2)</f>
        <v>0</v>
      </c>
      <c r="J102" s="38">
        <f t="shared" ref="J102:J108" si="19">ROUND(IS102*G102,2)</f>
        <v>0</v>
      </c>
      <c r="K102" s="38">
        <f t="shared" ref="K102:K108" si="20">ROUND(IR102*G102+IS102*G102,2)</f>
        <v>0</v>
      </c>
      <c r="L102" s="38">
        <f>'Stavební rozpočet'!N106</f>
        <v>4.6999999999999999E-4</v>
      </c>
      <c r="M102" s="62">
        <f t="shared" ref="M102:M108" si="21">L102*G102</f>
        <v>1.41E-3</v>
      </c>
      <c r="HV102" s="3" t="s">
        <v>274</v>
      </c>
      <c r="HW102" s="3" t="s">
        <v>616</v>
      </c>
      <c r="IR102" s="63">
        <f>H102*0.288317757</f>
        <v>0</v>
      </c>
      <c r="IS102" s="63">
        <f>H102*(1-0.288317757)</f>
        <v>0</v>
      </c>
    </row>
    <row r="103" spans="1:253" x14ac:dyDescent="0.25">
      <c r="A103" s="61">
        <v>57</v>
      </c>
      <c r="B103" s="3" t="s">
        <v>51</v>
      </c>
      <c r="C103" s="3" t="s">
        <v>282</v>
      </c>
      <c r="D103" s="5" t="s">
        <v>283</v>
      </c>
      <c r="E103" s="3" t="s">
        <v>100</v>
      </c>
      <c r="F103" s="3" t="s">
        <v>84</v>
      </c>
      <c r="G103" s="38">
        <f>'Stavební rozpočet'!G107</f>
        <v>7</v>
      </c>
      <c r="H103" s="38">
        <f>'Stavební rozpočet'!H107</f>
        <v>0</v>
      </c>
      <c r="I103" s="38">
        <f t="shared" si="18"/>
        <v>0</v>
      </c>
      <c r="J103" s="38">
        <f t="shared" si="19"/>
        <v>0</v>
      </c>
      <c r="K103" s="38">
        <f t="shared" si="20"/>
        <v>0</v>
      </c>
      <c r="L103" s="38">
        <f>'Stavební rozpočet'!N107</f>
        <v>3.8000000000000002E-4</v>
      </c>
      <c r="M103" s="62">
        <f t="shared" si="21"/>
        <v>2.66E-3</v>
      </c>
      <c r="HV103" s="3" t="s">
        <v>274</v>
      </c>
      <c r="HW103" s="3" t="s">
        <v>616</v>
      </c>
      <c r="IR103" s="63">
        <f>H103*0.278442478</f>
        <v>0</v>
      </c>
      <c r="IS103" s="63">
        <f>H103*(1-0.278442478)</f>
        <v>0</v>
      </c>
    </row>
    <row r="104" spans="1:253" x14ac:dyDescent="0.25">
      <c r="A104" s="61">
        <v>58</v>
      </c>
      <c r="B104" s="3" t="s">
        <v>51</v>
      </c>
      <c r="C104" s="3" t="s">
        <v>285</v>
      </c>
      <c r="D104" s="5" t="s">
        <v>286</v>
      </c>
      <c r="E104" s="3" t="s">
        <v>100</v>
      </c>
      <c r="F104" s="3" t="s">
        <v>63</v>
      </c>
      <c r="G104" s="38">
        <f>'Stavební rozpočet'!G108</f>
        <v>2</v>
      </c>
      <c r="H104" s="38">
        <f>'Stavební rozpočet'!H108</f>
        <v>0</v>
      </c>
      <c r="I104" s="38">
        <f t="shared" si="18"/>
        <v>0</v>
      </c>
      <c r="J104" s="38">
        <f t="shared" si="19"/>
        <v>0</v>
      </c>
      <c r="K104" s="38">
        <f t="shared" si="20"/>
        <v>0</v>
      </c>
      <c r="L104" s="38">
        <f>'Stavební rozpočet'!N108</f>
        <v>1.5200000000000001E-3</v>
      </c>
      <c r="M104" s="62">
        <f t="shared" si="21"/>
        <v>3.0400000000000002E-3</v>
      </c>
      <c r="HV104" s="3" t="s">
        <v>274</v>
      </c>
      <c r="HW104" s="3" t="s">
        <v>616</v>
      </c>
      <c r="IR104" s="63">
        <f>H104*0.262895257</f>
        <v>0</v>
      </c>
      <c r="IS104" s="63">
        <f>H104*(1-0.262895257)</f>
        <v>0</v>
      </c>
    </row>
    <row r="105" spans="1:253" x14ac:dyDescent="0.25">
      <c r="A105" s="61">
        <v>59</v>
      </c>
      <c r="B105" s="3" t="s">
        <v>51</v>
      </c>
      <c r="C105" s="3" t="s">
        <v>288</v>
      </c>
      <c r="D105" s="5" t="s">
        <v>289</v>
      </c>
      <c r="E105" s="3" t="s">
        <v>66</v>
      </c>
      <c r="F105" s="3" t="s">
        <v>675</v>
      </c>
      <c r="G105" s="38">
        <f>'Stavební rozpočet'!G109</f>
        <v>2</v>
      </c>
      <c r="H105" s="38">
        <f>'Stavební rozpočet'!H109</f>
        <v>0</v>
      </c>
      <c r="I105" s="38">
        <f t="shared" si="18"/>
        <v>0</v>
      </c>
      <c r="J105" s="38">
        <f t="shared" si="19"/>
        <v>0</v>
      </c>
      <c r="K105" s="38">
        <f t="shared" si="20"/>
        <v>0</v>
      </c>
      <c r="L105" s="38">
        <f>'Stavební rozpočet'!N109</f>
        <v>0</v>
      </c>
      <c r="M105" s="62">
        <f t="shared" si="21"/>
        <v>0</v>
      </c>
      <c r="HV105" s="3" t="s">
        <v>274</v>
      </c>
      <c r="HW105" s="3" t="s">
        <v>616</v>
      </c>
      <c r="IR105" s="63">
        <f>H105*0</f>
        <v>0</v>
      </c>
      <c r="IS105" s="63">
        <f>H105*(1-0)</f>
        <v>0</v>
      </c>
    </row>
    <row r="106" spans="1:253" x14ac:dyDescent="0.25">
      <c r="A106" s="61">
        <v>60</v>
      </c>
      <c r="B106" s="3" t="s">
        <v>51</v>
      </c>
      <c r="C106" s="3" t="s">
        <v>291</v>
      </c>
      <c r="D106" s="5" t="s">
        <v>292</v>
      </c>
      <c r="E106" s="3" t="s">
        <v>66</v>
      </c>
      <c r="F106" s="3" t="s">
        <v>676</v>
      </c>
      <c r="G106" s="38">
        <f>'Stavební rozpočet'!G110</f>
        <v>2</v>
      </c>
      <c r="H106" s="38">
        <f>'Stavební rozpočet'!H110</f>
        <v>0</v>
      </c>
      <c r="I106" s="38">
        <f t="shared" si="18"/>
        <v>0</v>
      </c>
      <c r="J106" s="38">
        <f t="shared" si="19"/>
        <v>0</v>
      </c>
      <c r="K106" s="38">
        <f t="shared" si="20"/>
        <v>0</v>
      </c>
      <c r="L106" s="38">
        <f>'Stavební rozpočet'!N110</f>
        <v>0</v>
      </c>
      <c r="M106" s="62">
        <f t="shared" si="21"/>
        <v>0</v>
      </c>
      <c r="HV106" s="3" t="s">
        <v>274</v>
      </c>
      <c r="HW106" s="3" t="s">
        <v>616</v>
      </c>
      <c r="IR106" s="63">
        <f>H106*0</f>
        <v>0</v>
      </c>
      <c r="IS106" s="63">
        <f>H106*(1-0)</f>
        <v>0</v>
      </c>
    </row>
    <row r="107" spans="1:253" x14ac:dyDescent="0.25">
      <c r="A107" s="61">
        <v>61</v>
      </c>
      <c r="B107" s="3" t="s">
        <v>51</v>
      </c>
      <c r="C107" s="3" t="s">
        <v>293</v>
      </c>
      <c r="D107" s="5" t="s">
        <v>294</v>
      </c>
      <c r="E107" s="3" t="s">
        <v>66</v>
      </c>
      <c r="F107" s="3" t="s">
        <v>677</v>
      </c>
      <c r="G107" s="38">
        <f>'Stavební rozpočet'!G111</f>
        <v>4</v>
      </c>
      <c r="H107" s="38">
        <f>'Stavební rozpočet'!H111</f>
        <v>0</v>
      </c>
      <c r="I107" s="38">
        <f t="shared" si="18"/>
        <v>0</v>
      </c>
      <c r="J107" s="38">
        <f t="shared" si="19"/>
        <v>0</v>
      </c>
      <c r="K107" s="38">
        <f t="shared" si="20"/>
        <v>0</v>
      </c>
      <c r="L107" s="38">
        <f>'Stavební rozpočet'!N111</f>
        <v>0</v>
      </c>
      <c r="M107" s="62">
        <f t="shared" si="21"/>
        <v>0</v>
      </c>
      <c r="HV107" s="3" t="s">
        <v>274</v>
      </c>
      <c r="HW107" s="3" t="s">
        <v>616</v>
      </c>
      <c r="IR107" s="63">
        <f>H107*0</f>
        <v>0</v>
      </c>
      <c r="IS107" s="63">
        <f>H107*(1-0)</f>
        <v>0</v>
      </c>
    </row>
    <row r="108" spans="1:253" x14ac:dyDescent="0.25">
      <c r="A108" s="61">
        <v>62</v>
      </c>
      <c r="B108" s="3" t="s">
        <v>51</v>
      </c>
      <c r="C108" s="3" t="s">
        <v>296</v>
      </c>
      <c r="D108" s="5" t="s">
        <v>297</v>
      </c>
      <c r="E108" s="3" t="s">
        <v>118</v>
      </c>
      <c r="F108" s="3" t="s">
        <v>678</v>
      </c>
      <c r="G108" s="38">
        <f>'Stavební rozpočet'!G112</f>
        <v>1</v>
      </c>
      <c r="H108" s="38">
        <f>'Stavební rozpočet'!H112</f>
        <v>0</v>
      </c>
      <c r="I108" s="38">
        <f t="shared" si="18"/>
        <v>0</v>
      </c>
      <c r="J108" s="38">
        <f t="shared" si="19"/>
        <v>0</v>
      </c>
      <c r="K108" s="38">
        <f t="shared" si="20"/>
        <v>0</v>
      </c>
      <c r="L108" s="38">
        <f>'Stavební rozpočet'!N112</f>
        <v>6.2E-4</v>
      </c>
      <c r="M108" s="62">
        <f t="shared" si="21"/>
        <v>6.2E-4</v>
      </c>
      <c r="HV108" s="3" t="s">
        <v>274</v>
      </c>
      <c r="HW108" s="3" t="s">
        <v>616</v>
      </c>
      <c r="IR108" s="63">
        <f>H108*0.318424</f>
        <v>0</v>
      </c>
      <c r="IS108" s="63">
        <f>H108*(1-0.318424)</f>
        <v>0</v>
      </c>
    </row>
    <row r="109" spans="1:253" ht="13.5" customHeight="1" x14ac:dyDescent="0.25">
      <c r="A109" s="42"/>
      <c r="D109" s="5" t="s">
        <v>298</v>
      </c>
      <c r="M109" s="64"/>
    </row>
    <row r="110" spans="1:253" x14ac:dyDescent="0.25">
      <c r="A110" s="61">
        <v>63</v>
      </c>
      <c r="B110" s="3" t="s">
        <v>51</v>
      </c>
      <c r="C110" s="3" t="s">
        <v>299</v>
      </c>
      <c r="D110" s="5" t="s">
        <v>300</v>
      </c>
      <c r="E110" s="3" t="s">
        <v>100</v>
      </c>
      <c r="F110" s="3" t="s">
        <v>115</v>
      </c>
      <c r="G110" s="38">
        <f>'Stavební rozpočet'!G114</f>
        <v>15</v>
      </c>
      <c r="H110" s="38">
        <f>'Stavební rozpočet'!H114</f>
        <v>0</v>
      </c>
      <c r="I110" s="38">
        <f>ROUND(IR110*G110,2)</f>
        <v>0</v>
      </c>
      <c r="J110" s="38">
        <f>ROUND(IS110*G110,2)</f>
        <v>0</v>
      </c>
      <c r="K110" s="38">
        <f>ROUND(IR110*G110+IS110*G110,2)</f>
        <v>0</v>
      </c>
      <c r="L110" s="38">
        <f>'Stavební rozpočet'!N114</f>
        <v>0</v>
      </c>
      <c r="M110" s="62">
        <f>L110*G110</f>
        <v>0</v>
      </c>
      <c r="HV110" s="3" t="s">
        <v>274</v>
      </c>
      <c r="HW110" s="3" t="s">
        <v>616</v>
      </c>
      <c r="IR110" s="63">
        <f>H110*0.028888889</f>
        <v>0</v>
      </c>
      <c r="IS110" s="63">
        <f>H110*(1-0.028888889)</f>
        <v>0</v>
      </c>
    </row>
    <row r="111" spans="1:253" x14ac:dyDescent="0.25">
      <c r="A111" s="61">
        <v>64</v>
      </c>
      <c r="B111" s="3" t="s">
        <v>51</v>
      </c>
      <c r="C111" s="3" t="s">
        <v>303</v>
      </c>
      <c r="D111" s="5" t="s">
        <v>304</v>
      </c>
      <c r="E111" s="3" t="s">
        <v>134</v>
      </c>
      <c r="F111" s="3" t="s">
        <v>50</v>
      </c>
      <c r="G111" s="38">
        <f>'Stavební rozpočet'!G116</f>
        <v>7.7299999999999999E-3</v>
      </c>
      <c r="H111" s="38">
        <f>'Stavební rozpočet'!H116</f>
        <v>0</v>
      </c>
      <c r="I111" s="38">
        <f>ROUND(IR111*G111,2)</f>
        <v>0</v>
      </c>
      <c r="J111" s="38">
        <f>ROUND(IS111*G111,2)</f>
        <v>0</v>
      </c>
      <c r="K111" s="38">
        <f>ROUND(IR111*G111+IS111*G111,2)</f>
        <v>0</v>
      </c>
      <c r="L111" s="38">
        <f>'Stavební rozpočet'!N116</f>
        <v>0</v>
      </c>
      <c r="M111" s="62">
        <f>L111*G111</f>
        <v>0</v>
      </c>
      <c r="HV111" s="3" t="s">
        <v>274</v>
      </c>
      <c r="HW111" s="3" t="s">
        <v>616</v>
      </c>
      <c r="IR111" s="63">
        <f>H111*0</f>
        <v>0</v>
      </c>
      <c r="IS111" s="63">
        <f>H111*(1-0)</f>
        <v>0</v>
      </c>
    </row>
    <row r="112" spans="1:253" x14ac:dyDescent="0.25">
      <c r="A112" s="59" t="s">
        <v>4</v>
      </c>
      <c r="B112" s="34" t="s">
        <v>51</v>
      </c>
      <c r="C112" s="34" t="s">
        <v>305</v>
      </c>
      <c r="D112" s="35" t="s">
        <v>306</v>
      </c>
      <c r="E112" s="34" t="s">
        <v>4</v>
      </c>
      <c r="F112" s="34" t="s">
        <v>4</v>
      </c>
      <c r="G112" s="13" t="s">
        <v>4</v>
      </c>
      <c r="H112" s="13" t="s">
        <v>4</v>
      </c>
      <c r="I112" s="1">
        <f>SUM(I113:I124)</f>
        <v>0</v>
      </c>
      <c r="J112" s="1">
        <f>SUM(J113:J124)</f>
        <v>0</v>
      </c>
      <c r="K112" s="1">
        <f>SUM(K113:K124)</f>
        <v>0</v>
      </c>
      <c r="L112" s="13" t="s">
        <v>4</v>
      </c>
      <c r="M112" s="60">
        <f>SUM(M113:M124)</f>
        <v>8.7519999999999987E-2</v>
      </c>
    </row>
    <row r="113" spans="1:253" x14ac:dyDescent="0.25">
      <c r="A113" s="61">
        <v>65</v>
      </c>
      <c r="B113" s="3" t="s">
        <v>51</v>
      </c>
      <c r="C113" s="3" t="s">
        <v>308</v>
      </c>
      <c r="D113" s="5" t="s">
        <v>309</v>
      </c>
      <c r="E113" s="3" t="s">
        <v>66</v>
      </c>
      <c r="F113" s="3" t="s">
        <v>679</v>
      </c>
      <c r="G113" s="38">
        <f>'Stavební rozpočet'!G118</f>
        <v>4</v>
      </c>
      <c r="H113" s="38">
        <f>'Stavební rozpočet'!H118</f>
        <v>0</v>
      </c>
      <c r="I113" s="38">
        <f>ROUND(IR113*G113,2)</f>
        <v>0</v>
      </c>
      <c r="J113" s="38">
        <f>ROUND(IS113*G113,2)</f>
        <v>0</v>
      </c>
      <c r="K113" s="38">
        <f>ROUND(IR113*G113+IS113*G113,2)</f>
        <v>0</v>
      </c>
      <c r="L113" s="38">
        <f>'Stavební rozpočet'!N118</f>
        <v>1.1E-4</v>
      </c>
      <c r="M113" s="62">
        <f>L113*G113</f>
        <v>4.4000000000000002E-4</v>
      </c>
      <c r="HV113" s="3" t="s">
        <v>305</v>
      </c>
      <c r="HW113" s="3" t="s">
        <v>616</v>
      </c>
      <c r="IR113" s="63">
        <f>H113*0.414039939</f>
        <v>0</v>
      </c>
      <c r="IS113" s="63">
        <f>H113*(1-0.414039939)</f>
        <v>0</v>
      </c>
    </row>
    <row r="114" spans="1:253" x14ac:dyDescent="0.25">
      <c r="A114" s="61">
        <v>66</v>
      </c>
      <c r="B114" s="3" t="s">
        <v>51</v>
      </c>
      <c r="C114" s="3" t="s">
        <v>312</v>
      </c>
      <c r="D114" s="5" t="s">
        <v>313</v>
      </c>
      <c r="E114" s="3" t="s">
        <v>100</v>
      </c>
      <c r="F114" s="3" t="s">
        <v>680</v>
      </c>
      <c r="G114" s="38">
        <f>'Stavební rozpočet'!G119</f>
        <v>18</v>
      </c>
      <c r="H114" s="38">
        <f>'Stavební rozpočet'!H119</f>
        <v>0</v>
      </c>
      <c r="I114" s="38">
        <f>ROUND(IR114*G114,2)</f>
        <v>0</v>
      </c>
      <c r="J114" s="38">
        <f>ROUND(IS114*G114,2)</f>
        <v>0</v>
      </c>
      <c r="K114" s="38">
        <f>ROUND(IR114*G114+IS114*G114,2)</f>
        <v>0</v>
      </c>
      <c r="L114" s="38">
        <f>'Stavební rozpočet'!N119</f>
        <v>3.9899999999999996E-3</v>
      </c>
      <c r="M114" s="62">
        <f>L114*G114</f>
        <v>7.1819999999999995E-2</v>
      </c>
      <c r="HV114" s="3" t="s">
        <v>305</v>
      </c>
      <c r="HW114" s="3" t="s">
        <v>616</v>
      </c>
      <c r="IR114" s="63">
        <f>H114*0.226912114</f>
        <v>0</v>
      </c>
      <c r="IS114" s="63">
        <f>H114*(1-0.226912114)</f>
        <v>0</v>
      </c>
    </row>
    <row r="115" spans="1:253" x14ac:dyDescent="0.25">
      <c r="A115" s="109" t="s">
        <v>50</v>
      </c>
      <c r="B115" s="110"/>
      <c r="C115" s="110"/>
      <c r="D115" s="110"/>
      <c r="E115" s="110"/>
      <c r="F115" s="3" t="s">
        <v>681</v>
      </c>
      <c r="G115" s="38">
        <v>14.4</v>
      </c>
      <c r="H115" s="38">
        <f>'Stavební rozpočet'!H119</f>
        <v>0</v>
      </c>
      <c r="M115" s="64"/>
      <c r="HV115" s="3" t="s">
        <v>305</v>
      </c>
      <c r="HW115" s="3" t="s">
        <v>616</v>
      </c>
      <c r="IR115" s="63">
        <f>H115*0.226912114</f>
        <v>0</v>
      </c>
      <c r="IS115" s="63">
        <f>H115*(1-0.226912114)</f>
        <v>0</v>
      </c>
    </row>
    <row r="116" spans="1:253" x14ac:dyDescent="0.25">
      <c r="A116" s="61">
        <v>67</v>
      </c>
      <c r="B116" s="3" t="s">
        <v>51</v>
      </c>
      <c r="C116" s="3" t="s">
        <v>315</v>
      </c>
      <c r="D116" s="5" t="s">
        <v>316</v>
      </c>
      <c r="E116" s="3" t="s">
        <v>100</v>
      </c>
      <c r="F116" s="3" t="s">
        <v>682</v>
      </c>
      <c r="G116" s="38">
        <f>'Stavební rozpočet'!G120</f>
        <v>18</v>
      </c>
      <c r="H116" s="38">
        <f>'Stavební rozpočet'!H120</f>
        <v>0</v>
      </c>
      <c r="I116" s="38">
        <f>ROUND(IR116*G116,2)</f>
        <v>0</v>
      </c>
      <c r="J116" s="38">
        <f>ROUND(IS116*G116,2)</f>
        <v>0</v>
      </c>
      <c r="K116" s="38">
        <f>ROUND(IR116*G116+IS116*G116,2)</f>
        <v>0</v>
      </c>
      <c r="L116" s="38">
        <f>'Stavební rozpočet'!N120</f>
        <v>1.0000000000000001E-5</v>
      </c>
      <c r="M116" s="62">
        <f>L116*G116</f>
        <v>1.8000000000000001E-4</v>
      </c>
      <c r="HV116" s="3" t="s">
        <v>305</v>
      </c>
      <c r="HW116" s="3" t="s">
        <v>616</v>
      </c>
      <c r="IR116" s="63">
        <f>H116*0.155978086</f>
        <v>0</v>
      </c>
      <c r="IS116" s="63">
        <f>H116*(1-0.155978086)</f>
        <v>0</v>
      </c>
    </row>
    <row r="117" spans="1:253" ht="13.5" customHeight="1" x14ac:dyDescent="0.25">
      <c r="A117" s="42"/>
      <c r="D117" s="5" t="s">
        <v>317</v>
      </c>
      <c r="M117" s="64"/>
    </row>
    <row r="118" spans="1:253" x14ac:dyDescent="0.25">
      <c r="A118" s="61">
        <v>68</v>
      </c>
      <c r="B118" s="3" t="s">
        <v>51</v>
      </c>
      <c r="C118" s="3" t="s">
        <v>320</v>
      </c>
      <c r="D118" s="5" t="s">
        <v>321</v>
      </c>
      <c r="E118" s="3" t="s">
        <v>118</v>
      </c>
      <c r="F118" s="3" t="s">
        <v>683</v>
      </c>
      <c r="G118" s="38">
        <f>'Stavební rozpočet'!G123</f>
        <v>14</v>
      </c>
      <c r="H118" s="38">
        <f>'Stavební rozpočet'!H123</f>
        <v>0</v>
      </c>
      <c r="I118" s="38">
        <f>ROUND(IR118*G118,2)</f>
        <v>0</v>
      </c>
      <c r="J118" s="38">
        <f>ROUND(IS118*G118,2)</f>
        <v>0</v>
      </c>
      <c r="K118" s="38">
        <f>ROUND(IR118*G118+IS118*G118,2)</f>
        <v>0</v>
      </c>
      <c r="L118" s="38">
        <f>'Stavební rozpočet'!N123</f>
        <v>8.4999999999999995E-4</v>
      </c>
      <c r="M118" s="62">
        <f>L118*G118</f>
        <v>1.1899999999999999E-2</v>
      </c>
      <c r="HV118" s="3" t="s">
        <v>305</v>
      </c>
      <c r="HW118" s="3" t="s">
        <v>616</v>
      </c>
      <c r="IR118" s="63">
        <f>H118*0.665363409</f>
        <v>0</v>
      </c>
      <c r="IS118" s="63">
        <f>H118*(1-0.665363409)</f>
        <v>0</v>
      </c>
    </row>
    <row r="119" spans="1:253" x14ac:dyDescent="0.25">
      <c r="A119" s="61">
        <v>69</v>
      </c>
      <c r="B119" s="3" t="s">
        <v>51</v>
      </c>
      <c r="C119" s="3" t="s">
        <v>323</v>
      </c>
      <c r="D119" s="5" t="s">
        <v>324</v>
      </c>
      <c r="E119" s="3" t="s">
        <v>100</v>
      </c>
      <c r="F119" s="3" t="s">
        <v>684</v>
      </c>
      <c r="G119" s="38">
        <f>'Stavební rozpočet'!G124</f>
        <v>18</v>
      </c>
      <c r="H119" s="38">
        <f>'Stavební rozpočet'!H124</f>
        <v>0</v>
      </c>
      <c r="I119" s="38">
        <f>ROUND(IR119*G119,2)</f>
        <v>0</v>
      </c>
      <c r="J119" s="38">
        <f>ROUND(IS119*G119,2)</f>
        <v>0</v>
      </c>
      <c r="K119" s="38">
        <f>ROUND(IR119*G119+IS119*G119,2)</f>
        <v>0</v>
      </c>
      <c r="L119" s="38">
        <f>'Stavební rozpočet'!N124</f>
        <v>0</v>
      </c>
      <c r="M119" s="62">
        <f>L119*G119</f>
        <v>0</v>
      </c>
      <c r="HV119" s="3" t="s">
        <v>305</v>
      </c>
      <c r="HW119" s="3" t="s">
        <v>616</v>
      </c>
      <c r="IR119" s="63">
        <f>H119*0.0152</f>
        <v>0</v>
      </c>
      <c r="IS119" s="63">
        <f>H119*(1-0.0152)</f>
        <v>0</v>
      </c>
    </row>
    <row r="120" spans="1:253" x14ac:dyDescent="0.25">
      <c r="A120" s="61">
        <v>70</v>
      </c>
      <c r="B120" s="3" t="s">
        <v>51</v>
      </c>
      <c r="C120" s="3" t="s">
        <v>326</v>
      </c>
      <c r="D120" s="5" t="s">
        <v>327</v>
      </c>
      <c r="E120" s="3" t="s">
        <v>100</v>
      </c>
      <c r="F120" s="3" t="s">
        <v>125</v>
      </c>
      <c r="G120" s="38">
        <f>'Stavební rozpočet'!G125</f>
        <v>18</v>
      </c>
      <c r="H120" s="38">
        <f>'Stavební rozpočet'!H125</f>
        <v>0</v>
      </c>
      <c r="I120" s="38">
        <f>ROUND(IR120*G120,2)</f>
        <v>0</v>
      </c>
      <c r="J120" s="38">
        <f>ROUND(IS120*G120,2)</f>
        <v>0</v>
      </c>
      <c r="K120" s="38">
        <f>ROUND(IR120*G120+IS120*G120,2)</f>
        <v>0</v>
      </c>
      <c r="L120" s="38">
        <f>'Stavební rozpočet'!N125</f>
        <v>1.0000000000000001E-5</v>
      </c>
      <c r="M120" s="62">
        <f>L120*G120</f>
        <v>1.8000000000000001E-4</v>
      </c>
      <c r="HV120" s="3" t="s">
        <v>305</v>
      </c>
      <c r="HW120" s="3" t="s">
        <v>616</v>
      </c>
      <c r="IR120" s="63">
        <f>H120*0.051682692</f>
        <v>0</v>
      </c>
      <c r="IS120" s="63">
        <f>H120*(1-0.051682692)</f>
        <v>0</v>
      </c>
    </row>
    <row r="121" spans="1:253" x14ac:dyDescent="0.25">
      <c r="A121" s="61">
        <v>71</v>
      </c>
      <c r="B121" s="3" t="s">
        <v>51</v>
      </c>
      <c r="C121" s="3" t="s">
        <v>329</v>
      </c>
      <c r="D121" s="5" t="s">
        <v>297</v>
      </c>
      <c r="E121" s="3" t="s">
        <v>118</v>
      </c>
      <c r="F121" s="3" t="s">
        <v>678</v>
      </c>
      <c r="G121" s="38">
        <f>'Stavební rozpočet'!G126</f>
        <v>1</v>
      </c>
      <c r="H121" s="38">
        <f>'Stavební rozpočet'!H126</f>
        <v>0</v>
      </c>
      <c r="I121" s="38">
        <f>ROUND(IR121*G121,2)</f>
        <v>0</v>
      </c>
      <c r="J121" s="38">
        <f>ROUND(IS121*G121,2)</f>
        <v>0</v>
      </c>
      <c r="K121" s="38">
        <f>ROUND(IR121*G121+IS121*G121,2)</f>
        <v>0</v>
      </c>
      <c r="L121" s="38">
        <f>'Stavební rozpočet'!N126</f>
        <v>6.2E-4</v>
      </c>
      <c r="M121" s="62">
        <f>L121*G121</f>
        <v>6.2E-4</v>
      </c>
      <c r="HV121" s="3" t="s">
        <v>305</v>
      </c>
      <c r="HW121" s="3" t="s">
        <v>616</v>
      </c>
      <c r="IR121" s="63">
        <f>H121*0.3184225</f>
        <v>0</v>
      </c>
      <c r="IS121" s="63">
        <f>H121*(1-0.3184225)</f>
        <v>0</v>
      </c>
    </row>
    <row r="122" spans="1:253" ht="13.5" customHeight="1" x14ac:dyDescent="0.25">
      <c r="A122" s="42"/>
      <c r="D122" s="5" t="s">
        <v>298</v>
      </c>
      <c r="M122" s="64"/>
    </row>
    <row r="123" spans="1:253" x14ac:dyDescent="0.25">
      <c r="A123" s="61">
        <v>72</v>
      </c>
      <c r="B123" s="3" t="s">
        <v>51</v>
      </c>
      <c r="C123" s="3" t="s">
        <v>331</v>
      </c>
      <c r="D123" s="5" t="s">
        <v>332</v>
      </c>
      <c r="E123" s="3" t="s">
        <v>66</v>
      </c>
      <c r="F123" s="3" t="s">
        <v>111</v>
      </c>
      <c r="G123" s="38">
        <f>'Stavební rozpočet'!G128</f>
        <v>14</v>
      </c>
      <c r="H123" s="38">
        <f>'Stavební rozpočet'!H128</f>
        <v>0</v>
      </c>
      <c r="I123" s="38">
        <f>ROUND(IR123*G123,2)</f>
        <v>0</v>
      </c>
      <c r="J123" s="38">
        <f>ROUND(IS123*G123,2)</f>
        <v>0</v>
      </c>
      <c r="K123" s="38">
        <f>ROUND(IR123*G123+IS123*G123,2)</f>
        <v>0</v>
      </c>
      <c r="L123" s="38">
        <f>'Stavební rozpočet'!N128</f>
        <v>1.7000000000000001E-4</v>
      </c>
      <c r="M123" s="62">
        <f>L123*G123</f>
        <v>2.3800000000000002E-3</v>
      </c>
      <c r="HV123" s="3" t="s">
        <v>305</v>
      </c>
      <c r="HW123" s="3" t="s">
        <v>616</v>
      </c>
      <c r="IR123" s="63">
        <f>H123*0.381235108</f>
        <v>0</v>
      </c>
      <c r="IS123" s="63">
        <f>H123*(1-0.381235108)</f>
        <v>0</v>
      </c>
    </row>
    <row r="124" spans="1:253" x14ac:dyDescent="0.25">
      <c r="A124" s="61">
        <v>73</v>
      </c>
      <c r="B124" s="3" t="s">
        <v>51</v>
      </c>
      <c r="C124" s="3" t="s">
        <v>334</v>
      </c>
      <c r="D124" s="5" t="s">
        <v>335</v>
      </c>
      <c r="E124" s="3" t="s">
        <v>134</v>
      </c>
      <c r="F124" s="3" t="s">
        <v>50</v>
      </c>
      <c r="G124" s="38">
        <f>'Stavební rozpočet'!G129</f>
        <v>8.7520000000000001E-2</v>
      </c>
      <c r="H124" s="38">
        <f>'Stavební rozpočet'!H129</f>
        <v>0</v>
      </c>
      <c r="I124" s="38">
        <f>ROUND(IR124*G124,2)</f>
        <v>0</v>
      </c>
      <c r="J124" s="38">
        <f>ROUND(IS124*G124,2)</f>
        <v>0</v>
      </c>
      <c r="K124" s="38">
        <f>ROUND(IR124*G124+IS124*G124,2)</f>
        <v>0</v>
      </c>
      <c r="L124" s="38">
        <f>'Stavební rozpočet'!N129</f>
        <v>0</v>
      </c>
      <c r="M124" s="62">
        <f>L124*G124</f>
        <v>0</v>
      </c>
      <c r="HV124" s="3" t="s">
        <v>305</v>
      </c>
      <c r="HW124" s="3" t="s">
        <v>616</v>
      </c>
      <c r="IR124" s="63">
        <f>H124*0</f>
        <v>0</v>
      </c>
      <c r="IS124" s="63">
        <f>H124*(1-0)</f>
        <v>0</v>
      </c>
    </row>
    <row r="125" spans="1:253" x14ac:dyDescent="0.25">
      <c r="A125" s="59" t="s">
        <v>4</v>
      </c>
      <c r="B125" s="34" t="s">
        <v>51</v>
      </c>
      <c r="C125" s="34" t="s">
        <v>336</v>
      </c>
      <c r="D125" s="35" t="s">
        <v>337</v>
      </c>
      <c r="E125" s="34" t="s">
        <v>4</v>
      </c>
      <c r="F125" s="34" t="s">
        <v>4</v>
      </c>
      <c r="G125" s="13" t="s">
        <v>4</v>
      </c>
      <c r="H125" s="13" t="s">
        <v>4</v>
      </c>
      <c r="I125" s="1">
        <f>SUM(I126:I151)</f>
        <v>0</v>
      </c>
      <c r="J125" s="1">
        <f>SUM(J126:J151)</f>
        <v>0</v>
      </c>
      <c r="K125" s="1">
        <f>SUM(K126:K151)</f>
        <v>0</v>
      </c>
      <c r="L125" s="13" t="s">
        <v>4</v>
      </c>
      <c r="M125" s="60">
        <f>SUM(M126:M151)</f>
        <v>0.40906000000000009</v>
      </c>
    </row>
    <row r="126" spans="1:253" x14ac:dyDescent="0.25">
      <c r="A126" s="61">
        <v>74</v>
      </c>
      <c r="B126" s="3" t="s">
        <v>51</v>
      </c>
      <c r="C126" s="3" t="s">
        <v>339</v>
      </c>
      <c r="D126" s="5" t="s">
        <v>340</v>
      </c>
      <c r="E126" s="3" t="s">
        <v>66</v>
      </c>
      <c r="F126" s="3" t="s">
        <v>685</v>
      </c>
      <c r="G126" s="38">
        <f>'Stavební rozpočet'!G131</f>
        <v>2</v>
      </c>
      <c r="H126" s="38">
        <f>'Stavební rozpočet'!H131</f>
        <v>0</v>
      </c>
      <c r="I126" s="38">
        <f t="shared" ref="I126:I147" si="22">ROUND(IR126*G126,2)</f>
        <v>0</v>
      </c>
      <c r="J126" s="38">
        <f t="shared" ref="J126:J147" si="23">ROUND(IS126*G126,2)</f>
        <v>0</v>
      </c>
      <c r="K126" s="38">
        <f t="shared" ref="K126:K147" si="24">ROUND(IR126*G126+IS126*G126,2)</f>
        <v>0</v>
      </c>
      <c r="L126" s="38">
        <f>'Stavební rozpočet'!N131</f>
        <v>1.4999999999999999E-2</v>
      </c>
      <c r="M126" s="62">
        <f t="shared" ref="M126:M147" si="25">L126*G126</f>
        <v>0.03</v>
      </c>
      <c r="HV126" s="3" t="s">
        <v>336</v>
      </c>
      <c r="HW126" s="3" t="s">
        <v>647</v>
      </c>
      <c r="IR126" s="63">
        <f>H126*1</f>
        <v>0</v>
      </c>
      <c r="IS126" s="63">
        <f>H126*(1-1)</f>
        <v>0</v>
      </c>
    </row>
    <row r="127" spans="1:253" x14ac:dyDescent="0.25">
      <c r="A127" s="61">
        <v>75</v>
      </c>
      <c r="B127" s="3" t="s">
        <v>51</v>
      </c>
      <c r="C127" s="3" t="s">
        <v>343</v>
      </c>
      <c r="D127" s="5" t="s">
        <v>344</v>
      </c>
      <c r="E127" s="3" t="s">
        <v>66</v>
      </c>
      <c r="F127" s="3" t="s">
        <v>686</v>
      </c>
      <c r="G127" s="38">
        <f>'Stavební rozpočet'!G133</f>
        <v>2</v>
      </c>
      <c r="H127" s="38">
        <f>'Stavební rozpočet'!H133</f>
        <v>0</v>
      </c>
      <c r="I127" s="38">
        <f t="shared" si="22"/>
        <v>0</v>
      </c>
      <c r="J127" s="38">
        <f t="shared" si="23"/>
        <v>0</v>
      </c>
      <c r="K127" s="38">
        <f t="shared" si="24"/>
        <v>0</v>
      </c>
      <c r="L127" s="38">
        <f>'Stavební rozpočet'!N133</f>
        <v>1.4999999999999999E-2</v>
      </c>
      <c r="M127" s="62">
        <f t="shared" si="25"/>
        <v>0.03</v>
      </c>
      <c r="HV127" s="3" t="s">
        <v>336</v>
      </c>
      <c r="HW127" s="3" t="s">
        <v>647</v>
      </c>
      <c r="IR127" s="63">
        <f>H127*1</f>
        <v>0</v>
      </c>
      <c r="IS127" s="63">
        <f>H127*(1-1)</f>
        <v>0</v>
      </c>
    </row>
    <row r="128" spans="1:253" x14ac:dyDescent="0.25">
      <c r="A128" s="61">
        <v>76</v>
      </c>
      <c r="B128" s="3" t="s">
        <v>51</v>
      </c>
      <c r="C128" s="3" t="s">
        <v>346</v>
      </c>
      <c r="D128" s="5" t="s">
        <v>347</v>
      </c>
      <c r="E128" s="3" t="s">
        <v>66</v>
      </c>
      <c r="F128" s="3" t="s">
        <v>687</v>
      </c>
      <c r="G128" s="38">
        <f>'Stavební rozpočet'!G135</f>
        <v>2</v>
      </c>
      <c r="H128" s="38">
        <f>'Stavební rozpočet'!H135</f>
        <v>0</v>
      </c>
      <c r="I128" s="38">
        <f t="shared" si="22"/>
        <v>0</v>
      </c>
      <c r="J128" s="38">
        <f t="shared" si="23"/>
        <v>0</v>
      </c>
      <c r="K128" s="38">
        <f t="shared" si="24"/>
        <v>0</v>
      </c>
      <c r="L128" s="38">
        <f>'Stavební rozpočet'!N135</f>
        <v>3.0000000000000001E-3</v>
      </c>
      <c r="M128" s="62">
        <f t="shared" si="25"/>
        <v>6.0000000000000001E-3</v>
      </c>
      <c r="HV128" s="3" t="s">
        <v>336</v>
      </c>
      <c r="HW128" s="3" t="s">
        <v>647</v>
      </c>
      <c r="IR128" s="63">
        <f>H128*1</f>
        <v>0</v>
      </c>
      <c r="IS128" s="63">
        <f>H128*(1-1)</f>
        <v>0</v>
      </c>
    </row>
    <row r="129" spans="1:253" x14ac:dyDescent="0.25">
      <c r="A129" s="61">
        <v>77</v>
      </c>
      <c r="B129" s="3" t="s">
        <v>51</v>
      </c>
      <c r="C129" s="3" t="s">
        <v>349</v>
      </c>
      <c r="D129" s="5" t="s">
        <v>350</v>
      </c>
      <c r="E129" s="3" t="s">
        <v>66</v>
      </c>
      <c r="F129" s="3" t="s">
        <v>688</v>
      </c>
      <c r="G129" s="38">
        <f>'Stavební rozpočet'!G137</f>
        <v>2</v>
      </c>
      <c r="H129" s="38">
        <f>'Stavební rozpočet'!H137</f>
        <v>0</v>
      </c>
      <c r="I129" s="38">
        <f t="shared" si="22"/>
        <v>0</v>
      </c>
      <c r="J129" s="38">
        <f t="shared" si="23"/>
        <v>0</v>
      </c>
      <c r="K129" s="38">
        <f t="shared" si="24"/>
        <v>0</v>
      </c>
      <c r="L129" s="38">
        <f>'Stavební rozpočet'!N137</f>
        <v>0.03</v>
      </c>
      <c r="M129" s="62">
        <f t="shared" si="25"/>
        <v>0.06</v>
      </c>
      <c r="HV129" s="3" t="s">
        <v>336</v>
      </c>
      <c r="HW129" s="3" t="s">
        <v>647</v>
      </c>
      <c r="IR129" s="63">
        <f>H129*1</f>
        <v>0</v>
      </c>
      <c r="IS129" s="63">
        <f>H129*(1-1)</f>
        <v>0</v>
      </c>
    </row>
    <row r="130" spans="1:253" x14ac:dyDescent="0.25">
      <c r="A130" s="61">
        <v>78</v>
      </c>
      <c r="B130" s="3" t="s">
        <v>51</v>
      </c>
      <c r="C130" s="3" t="s">
        <v>352</v>
      </c>
      <c r="D130" s="5" t="s">
        <v>353</v>
      </c>
      <c r="E130" s="3" t="s">
        <v>66</v>
      </c>
      <c r="F130" s="3" t="s">
        <v>689</v>
      </c>
      <c r="G130" s="38">
        <f>'Stavební rozpočet'!G139</f>
        <v>2</v>
      </c>
      <c r="H130" s="38">
        <f>'Stavební rozpočet'!H139</f>
        <v>0</v>
      </c>
      <c r="I130" s="38">
        <f t="shared" si="22"/>
        <v>0</v>
      </c>
      <c r="J130" s="38">
        <f t="shared" si="23"/>
        <v>0</v>
      </c>
      <c r="K130" s="38">
        <f t="shared" si="24"/>
        <v>0</v>
      </c>
      <c r="L130" s="38">
        <f>'Stavební rozpočet'!N139</f>
        <v>1E-3</v>
      </c>
      <c r="M130" s="62">
        <f t="shared" si="25"/>
        <v>2E-3</v>
      </c>
      <c r="HV130" s="3" t="s">
        <v>336</v>
      </c>
      <c r="HW130" s="3" t="s">
        <v>647</v>
      </c>
      <c r="IR130" s="63">
        <f>H130*1</f>
        <v>0</v>
      </c>
      <c r="IS130" s="63">
        <f>H130*(1-1)</f>
        <v>0</v>
      </c>
    </row>
    <row r="131" spans="1:253" x14ac:dyDescent="0.25">
      <c r="A131" s="61">
        <v>79</v>
      </c>
      <c r="B131" s="3" t="s">
        <v>51</v>
      </c>
      <c r="C131" s="3" t="s">
        <v>355</v>
      </c>
      <c r="D131" s="5" t="s">
        <v>356</v>
      </c>
      <c r="E131" s="3" t="s">
        <v>118</v>
      </c>
      <c r="F131" s="3" t="s">
        <v>690</v>
      </c>
      <c r="G131" s="38">
        <f>'Stavební rozpočet'!G141</f>
        <v>2</v>
      </c>
      <c r="H131" s="38">
        <f>'Stavební rozpočet'!H141</f>
        <v>0</v>
      </c>
      <c r="I131" s="38">
        <f t="shared" si="22"/>
        <v>0</v>
      </c>
      <c r="J131" s="38">
        <f t="shared" si="23"/>
        <v>0</v>
      </c>
      <c r="K131" s="38">
        <f t="shared" si="24"/>
        <v>0</v>
      </c>
      <c r="L131" s="38">
        <f>'Stavební rozpočet'!N141</f>
        <v>1.2999999999999999E-3</v>
      </c>
      <c r="M131" s="62">
        <f t="shared" si="25"/>
        <v>2.5999999999999999E-3</v>
      </c>
      <c r="HV131" s="3" t="s">
        <v>336</v>
      </c>
      <c r="HW131" s="3" t="s">
        <v>616</v>
      </c>
      <c r="IR131" s="63">
        <f>H131*0.864470284</f>
        <v>0</v>
      </c>
      <c r="IS131" s="63">
        <f>H131*(1-0.864470284)</f>
        <v>0</v>
      </c>
    </row>
    <row r="132" spans="1:253" x14ac:dyDescent="0.25">
      <c r="A132" s="61">
        <v>80</v>
      </c>
      <c r="B132" s="3" t="s">
        <v>51</v>
      </c>
      <c r="C132" s="3" t="s">
        <v>358</v>
      </c>
      <c r="D132" s="5" t="s">
        <v>359</v>
      </c>
      <c r="E132" s="3" t="s">
        <v>118</v>
      </c>
      <c r="F132" s="3" t="s">
        <v>691</v>
      </c>
      <c r="G132" s="38">
        <f>'Stavební rozpočet'!G142</f>
        <v>2</v>
      </c>
      <c r="H132" s="38">
        <f>'Stavební rozpočet'!H142</f>
        <v>0</v>
      </c>
      <c r="I132" s="38">
        <f t="shared" si="22"/>
        <v>0</v>
      </c>
      <c r="J132" s="38">
        <f t="shared" si="23"/>
        <v>0</v>
      </c>
      <c r="K132" s="38">
        <f t="shared" si="24"/>
        <v>0</v>
      </c>
      <c r="L132" s="38">
        <f>'Stavební rozpočet'!N142</f>
        <v>6.2E-4</v>
      </c>
      <c r="M132" s="62">
        <f t="shared" si="25"/>
        <v>1.24E-3</v>
      </c>
      <c r="HV132" s="3" t="s">
        <v>336</v>
      </c>
      <c r="HW132" s="3" t="s">
        <v>616</v>
      </c>
      <c r="IR132" s="63">
        <f>H132*0.300181818</f>
        <v>0</v>
      </c>
      <c r="IS132" s="63">
        <f>H132*(1-0.300181818)</f>
        <v>0</v>
      </c>
    </row>
    <row r="133" spans="1:253" ht="25.5" x14ac:dyDescent="0.25">
      <c r="A133" s="61">
        <v>81</v>
      </c>
      <c r="B133" s="3" t="s">
        <v>51</v>
      </c>
      <c r="C133" s="3" t="s">
        <v>361</v>
      </c>
      <c r="D133" s="5" t="s">
        <v>362</v>
      </c>
      <c r="E133" s="3" t="s">
        <v>66</v>
      </c>
      <c r="F133" s="3" t="s">
        <v>692</v>
      </c>
      <c r="G133" s="38">
        <f>'Stavební rozpočet'!G143</f>
        <v>2</v>
      </c>
      <c r="H133" s="38">
        <f>'Stavební rozpočet'!H143</f>
        <v>0</v>
      </c>
      <c r="I133" s="38">
        <f t="shared" si="22"/>
        <v>0</v>
      </c>
      <c r="J133" s="38">
        <f t="shared" si="23"/>
        <v>0</v>
      </c>
      <c r="K133" s="38">
        <f t="shared" si="24"/>
        <v>0</v>
      </c>
      <c r="L133" s="38">
        <f>'Stavební rozpočet'!N143</f>
        <v>5.3999999999999999E-2</v>
      </c>
      <c r="M133" s="62">
        <f t="shared" si="25"/>
        <v>0.108</v>
      </c>
      <c r="HV133" s="3" t="s">
        <v>336</v>
      </c>
      <c r="HW133" s="3" t="s">
        <v>647</v>
      </c>
      <c r="IR133" s="63">
        <f>H133*1</f>
        <v>0</v>
      </c>
      <c r="IS133" s="63">
        <f>H133*(1-1)</f>
        <v>0</v>
      </c>
    </row>
    <row r="134" spans="1:253" x14ac:dyDescent="0.25">
      <c r="A134" s="61">
        <v>82</v>
      </c>
      <c r="B134" s="3" t="s">
        <v>51</v>
      </c>
      <c r="C134" s="3" t="s">
        <v>365</v>
      </c>
      <c r="D134" s="5" t="s">
        <v>366</v>
      </c>
      <c r="E134" s="3" t="s">
        <v>118</v>
      </c>
      <c r="F134" s="3" t="s">
        <v>693</v>
      </c>
      <c r="G134" s="38">
        <f>'Stavební rozpočet'!G145</f>
        <v>2</v>
      </c>
      <c r="H134" s="38">
        <f>'Stavební rozpočet'!H145</f>
        <v>0</v>
      </c>
      <c r="I134" s="38">
        <f t="shared" si="22"/>
        <v>0</v>
      </c>
      <c r="J134" s="38">
        <f t="shared" si="23"/>
        <v>0</v>
      </c>
      <c r="K134" s="38">
        <f t="shared" si="24"/>
        <v>0</v>
      </c>
      <c r="L134" s="38">
        <f>'Stavební rozpočet'!N145</f>
        <v>1.7000000000000001E-4</v>
      </c>
      <c r="M134" s="62">
        <f t="shared" si="25"/>
        <v>3.4000000000000002E-4</v>
      </c>
      <c r="HV134" s="3" t="s">
        <v>336</v>
      </c>
      <c r="HW134" s="3" t="s">
        <v>616</v>
      </c>
      <c r="IR134" s="63">
        <f>H134*0.054292308</f>
        <v>0</v>
      </c>
      <c r="IS134" s="63">
        <f>H134*(1-0.054292308)</f>
        <v>0</v>
      </c>
    </row>
    <row r="135" spans="1:253" x14ac:dyDescent="0.25">
      <c r="A135" s="61">
        <v>83</v>
      </c>
      <c r="B135" s="3" t="s">
        <v>51</v>
      </c>
      <c r="C135" s="3" t="s">
        <v>368</v>
      </c>
      <c r="D135" s="5" t="s">
        <v>369</v>
      </c>
      <c r="E135" s="3" t="s">
        <v>66</v>
      </c>
      <c r="F135" s="3" t="s">
        <v>694</v>
      </c>
      <c r="G135" s="38">
        <f>'Stavební rozpočet'!G146</f>
        <v>2</v>
      </c>
      <c r="H135" s="38">
        <f>'Stavební rozpočet'!H146</f>
        <v>0</v>
      </c>
      <c r="I135" s="38">
        <f t="shared" si="22"/>
        <v>0</v>
      </c>
      <c r="J135" s="38">
        <f t="shared" si="23"/>
        <v>0</v>
      </c>
      <c r="K135" s="38">
        <f t="shared" si="24"/>
        <v>0</v>
      </c>
      <c r="L135" s="38">
        <f>'Stavební rozpočet'!N146</f>
        <v>1.0999999999999999E-2</v>
      </c>
      <c r="M135" s="62">
        <f t="shared" si="25"/>
        <v>2.1999999999999999E-2</v>
      </c>
      <c r="HV135" s="3" t="s">
        <v>336</v>
      </c>
      <c r="HW135" s="3" t="s">
        <v>647</v>
      </c>
      <c r="IR135" s="63">
        <f>H135*1</f>
        <v>0</v>
      </c>
      <c r="IS135" s="63">
        <f>H135*(1-1)</f>
        <v>0</v>
      </c>
    </row>
    <row r="136" spans="1:253" x14ac:dyDescent="0.25">
      <c r="A136" s="61">
        <v>84</v>
      </c>
      <c r="B136" s="3" t="s">
        <v>51</v>
      </c>
      <c r="C136" s="3" t="s">
        <v>372</v>
      </c>
      <c r="D136" s="5" t="s">
        <v>373</v>
      </c>
      <c r="E136" s="3" t="s">
        <v>118</v>
      </c>
      <c r="F136" s="3" t="s">
        <v>695</v>
      </c>
      <c r="G136" s="38">
        <f>'Stavební rozpočet'!G148</f>
        <v>2</v>
      </c>
      <c r="H136" s="38">
        <f>'Stavební rozpočet'!H148</f>
        <v>0</v>
      </c>
      <c r="I136" s="38">
        <f t="shared" si="22"/>
        <v>0</v>
      </c>
      <c r="J136" s="38">
        <f t="shared" si="23"/>
        <v>0</v>
      </c>
      <c r="K136" s="38">
        <f t="shared" si="24"/>
        <v>0</v>
      </c>
      <c r="L136" s="38">
        <f>'Stavební rozpočet'!N148</f>
        <v>1.1199999999999999E-3</v>
      </c>
      <c r="M136" s="62">
        <f t="shared" si="25"/>
        <v>2.2399999999999998E-3</v>
      </c>
      <c r="HV136" s="3" t="s">
        <v>336</v>
      </c>
      <c r="HW136" s="3" t="s">
        <v>616</v>
      </c>
      <c r="IR136" s="63">
        <f>H136*0.91772</f>
        <v>0</v>
      </c>
      <c r="IS136" s="63">
        <f>H136*(1-0.91772)</f>
        <v>0</v>
      </c>
    </row>
    <row r="137" spans="1:253" x14ac:dyDescent="0.25">
      <c r="A137" s="61">
        <v>85</v>
      </c>
      <c r="B137" s="3" t="s">
        <v>51</v>
      </c>
      <c r="C137" s="3" t="s">
        <v>375</v>
      </c>
      <c r="D137" s="5" t="s">
        <v>376</v>
      </c>
      <c r="E137" s="3" t="s">
        <v>66</v>
      </c>
      <c r="F137" s="3" t="s">
        <v>693</v>
      </c>
      <c r="G137" s="38">
        <f>'Stavební rozpočet'!G149</f>
        <v>2</v>
      </c>
      <c r="H137" s="38">
        <f>'Stavební rozpočet'!H149</f>
        <v>0</v>
      </c>
      <c r="I137" s="38">
        <f t="shared" si="22"/>
        <v>0</v>
      </c>
      <c r="J137" s="38">
        <f t="shared" si="23"/>
        <v>0</v>
      </c>
      <c r="K137" s="38">
        <f t="shared" si="24"/>
        <v>0</v>
      </c>
      <c r="L137" s="38">
        <f>'Stavební rozpočet'!N149</f>
        <v>0</v>
      </c>
      <c r="M137" s="62">
        <f t="shared" si="25"/>
        <v>0</v>
      </c>
      <c r="HV137" s="3" t="s">
        <v>336</v>
      </c>
      <c r="HW137" s="3" t="s">
        <v>647</v>
      </c>
      <c r="IR137" s="63">
        <f>H137*1</f>
        <v>0</v>
      </c>
      <c r="IS137" s="63">
        <f>H137*(1-1)</f>
        <v>0</v>
      </c>
    </row>
    <row r="138" spans="1:253" x14ac:dyDescent="0.25">
      <c r="A138" s="61">
        <v>86</v>
      </c>
      <c r="B138" s="3" t="s">
        <v>51</v>
      </c>
      <c r="C138" s="3" t="s">
        <v>379</v>
      </c>
      <c r="D138" s="5" t="s">
        <v>380</v>
      </c>
      <c r="E138" s="3" t="s">
        <v>66</v>
      </c>
      <c r="F138" s="3" t="s">
        <v>693</v>
      </c>
      <c r="G138" s="38">
        <f>'Stavební rozpočet'!G151</f>
        <v>2</v>
      </c>
      <c r="H138" s="38">
        <f>'Stavební rozpočet'!H151</f>
        <v>0</v>
      </c>
      <c r="I138" s="38">
        <f t="shared" si="22"/>
        <v>0</v>
      </c>
      <c r="J138" s="38">
        <f t="shared" si="23"/>
        <v>0</v>
      </c>
      <c r="K138" s="38">
        <f t="shared" si="24"/>
        <v>0</v>
      </c>
      <c r="L138" s="38">
        <f>'Stavební rozpočet'!N151</f>
        <v>0</v>
      </c>
      <c r="M138" s="62">
        <f t="shared" si="25"/>
        <v>0</v>
      </c>
      <c r="HV138" s="3" t="s">
        <v>336</v>
      </c>
      <c r="HW138" s="3" t="s">
        <v>647</v>
      </c>
      <c r="IR138" s="63">
        <f>H138*1</f>
        <v>0</v>
      </c>
      <c r="IS138" s="63">
        <f>H138*(1-1)</f>
        <v>0</v>
      </c>
    </row>
    <row r="139" spans="1:253" x14ac:dyDescent="0.25">
      <c r="A139" s="61">
        <v>87</v>
      </c>
      <c r="B139" s="3" t="s">
        <v>51</v>
      </c>
      <c r="C139" s="3" t="s">
        <v>383</v>
      </c>
      <c r="D139" s="5" t="s">
        <v>384</v>
      </c>
      <c r="E139" s="3" t="s">
        <v>66</v>
      </c>
      <c r="F139" s="3" t="s">
        <v>693</v>
      </c>
      <c r="G139" s="38">
        <f>'Stavební rozpočet'!G153</f>
        <v>2</v>
      </c>
      <c r="H139" s="38">
        <f>'Stavební rozpočet'!H153</f>
        <v>0</v>
      </c>
      <c r="I139" s="38">
        <f t="shared" si="22"/>
        <v>0</v>
      </c>
      <c r="J139" s="38">
        <f t="shared" si="23"/>
        <v>0</v>
      </c>
      <c r="K139" s="38">
        <f t="shared" si="24"/>
        <v>0</v>
      </c>
      <c r="L139" s="38">
        <f>'Stavební rozpočet'!N153</f>
        <v>0</v>
      </c>
      <c r="M139" s="62">
        <f t="shared" si="25"/>
        <v>0</v>
      </c>
      <c r="HV139" s="3" t="s">
        <v>336</v>
      </c>
      <c r="HW139" s="3" t="s">
        <v>647</v>
      </c>
      <c r="IR139" s="63">
        <f>H139*1</f>
        <v>0</v>
      </c>
      <c r="IS139" s="63">
        <f>H139*(1-1)</f>
        <v>0</v>
      </c>
    </row>
    <row r="140" spans="1:253" x14ac:dyDescent="0.25">
      <c r="A140" s="61">
        <v>88</v>
      </c>
      <c r="B140" s="3" t="s">
        <v>51</v>
      </c>
      <c r="C140" s="3" t="s">
        <v>387</v>
      </c>
      <c r="D140" s="5" t="s">
        <v>388</v>
      </c>
      <c r="E140" s="3" t="s">
        <v>118</v>
      </c>
      <c r="F140" s="3" t="s">
        <v>696</v>
      </c>
      <c r="G140" s="38">
        <f>'Stavební rozpočet'!G155</f>
        <v>2</v>
      </c>
      <c r="H140" s="38">
        <f>'Stavební rozpočet'!H155</f>
        <v>0</v>
      </c>
      <c r="I140" s="38">
        <f t="shared" si="22"/>
        <v>0</v>
      </c>
      <c r="J140" s="38">
        <f t="shared" si="23"/>
        <v>0</v>
      </c>
      <c r="K140" s="38">
        <f t="shared" si="24"/>
        <v>0</v>
      </c>
      <c r="L140" s="38">
        <f>'Stavební rozpočet'!N155</f>
        <v>8.4000000000000003E-4</v>
      </c>
      <c r="M140" s="62">
        <f t="shared" si="25"/>
        <v>1.6800000000000001E-3</v>
      </c>
      <c r="HV140" s="3" t="s">
        <v>336</v>
      </c>
      <c r="HW140" s="3" t="s">
        <v>616</v>
      </c>
      <c r="IR140" s="63">
        <f>H140*0.402378095</f>
        <v>0</v>
      </c>
      <c r="IS140" s="63">
        <f>H140*(1-0.402378095)</f>
        <v>0</v>
      </c>
    </row>
    <row r="141" spans="1:253" ht="25.5" x14ac:dyDescent="0.25">
      <c r="A141" s="61">
        <v>89</v>
      </c>
      <c r="B141" s="3" t="s">
        <v>51</v>
      </c>
      <c r="C141" s="3" t="s">
        <v>390</v>
      </c>
      <c r="D141" s="5" t="s">
        <v>391</v>
      </c>
      <c r="E141" s="3" t="s">
        <v>66</v>
      </c>
      <c r="F141" s="3" t="s">
        <v>697</v>
      </c>
      <c r="G141" s="38">
        <f>'Stavební rozpočet'!G156</f>
        <v>2</v>
      </c>
      <c r="H141" s="38">
        <f>'Stavební rozpočet'!H156</f>
        <v>0</v>
      </c>
      <c r="I141" s="38">
        <f t="shared" si="22"/>
        <v>0</v>
      </c>
      <c r="J141" s="38">
        <f t="shared" si="23"/>
        <v>0</v>
      </c>
      <c r="K141" s="38">
        <f t="shared" si="24"/>
        <v>0</v>
      </c>
      <c r="L141" s="38">
        <f>'Stavební rozpočet'!N156</f>
        <v>3.5999999999999997E-2</v>
      </c>
      <c r="M141" s="62">
        <f t="shared" si="25"/>
        <v>7.1999999999999995E-2</v>
      </c>
      <c r="HV141" s="3" t="s">
        <v>336</v>
      </c>
      <c r="HW141" s="3" t="s">
        <v>647</v>
      </c>
      <c r="IR141" s="63">
        <f>H141*1</f>
        <v>0</v>
      </c>
      <c r="IS141" s="63">
        <f>H141*(1-1)</f>
        <v>0</v>
      </c>
    </row>
    <row r="142" spans="1:253" x14ac:dyDescent="0.25">
      <c r="A142" s="61">
        <v>90</v>
      </c>
      <c r="B142" s="3" t="s">
        <v>51</v>
      </c>
      <c r="C142" s="3" t="s">
        <v>394</v>
      </c>
      <c r="D142" s="5" t="s">
        <v>395</v>
      </c>
      <c r="E142" s="3" t="s">
        <v>118</v>
      </c>
      <c r="F142" s="3" t="s">
        <v>698</v>
      </c>
      <c r="G142" s="38">
        <f>'Stavební rozpočet'!G158</f>
        <v>2</v>
      </c>
      <c r="H142" s="38">
        <f>'Stavební rozpočet'!H158</f>
        <v>0</v>
      </c>
      <c r="I142" s="38">
        <f t="shared" si="22"/>
        <v>0</v>
      </c>
      <c r="J142" s="38">
        <f t="shared" si="23"/>
        <v>0</v>
      </c>
      <c r="K142" s="38">
        <f t="shared" si="24"/>
        <v>0</v>
      </c>
      <c r="L142" s="38">
        <f>'Stavební rozpočet'!N158</f>
        <v>1.41E-3</v>
      </c>
      <c r="M142" s="62">
        <f t="shared" si="25"/>
        <v>2.82E-3</v>
      </c>
      <c r="HV142" s="3" t="s">
        <v>336</v>
      </c>
      <c r="HW142" s="3" t="s">
        <v>616</v>
      </c>
      <c r="IR142" s="63">
        <f>H142*0.149504432</f>
        <v>0</v>
      </c>
      <c r="IS142" s="63">
        <f>H142*(1-0.149504432)</f>
        <v>0</v>
      </c>
    </row>
    <row r="143" spans="1:253" ht="25.5" x14ac:dyDescent="0.25">
      <c r="A143" s="61">
        <v>91</v>
      </c>
      <c r="B143" s="3" t="s">
        <v>51</v>
      </c>
      <c r="C143" s="3" t="s">
        <v>397</v>
      </c>
      <c r="D143" s="5" t="s">
        <v>398</v>
      </c>
      <c r="E143" s="3" t="s">
        <v>66</v>
      </c>
      <c r="F143" s="3" t="s">
        <v>699</v>
      </c>
      <c r="G143" s="38">
        <f>'Stavební rozpočet'!G159</f>
        <v>2</v>
      </c>
      <c r="H143" s="38">
        <f>'Stavební rozpočet'!H159</f>
        <v>0</v>
      </c>
      <c r="I143" s="38">
        <f t="shared" si="22"/>
        <v>0</v>
      </c>
      <c r="J143" s="38">
        <f t="shared" si="23"/>
        <v>0</v>
      </c>
      <c r="K143" s="38">
        <f t="shared" si="24"/>
        <v>0</v>
      </c>
      <c r="L143" s="38">
        <f>'Stavební rozpočet'!N159</f>
        <v>8.0000000000000002E-3</v>
      </c>
      <c r="M143" s="62">
        <f t="shared" si="25"/>
        <v>1.6E-2</v>
      </c>
      <c r="HV143" s="3" t="s">
        <v>336</v>
      </c>
      <c r="HW143" s="3" t="s">
        <v>647</v>
      </c>
      <c r="IR143" s="63">
        <f>H143*1</f>
        <v>0</v>
      </c>
      <c r="IS143" s="63">
        <f>H143*(1-1)</f>
        <v>0</v>
      </c>
    </row>
    <row r="144" spans="1:253" x14ac:dyDescent="0.25">
      <c r="A144" s="61">
        <v>92</v>
      </c>
      <c r="B144" s="3" t="s">
        <v>51</v>
      </c>
      <c r="C144" s="3" t="s">
        <v>401</v>
      </c>
      <c r="D144" s="5" t="s">
        <v>402</v>
      </c>
      <c r="E144" s="3" t="s">
        <v>66</v>
      </c>
      <c r="F144" s="3" t="s">
        <v>700</v>
      </c>
      <c r="G144" s="38">
        <f>'Stavební rozpočet'!G161</f>
        <v>4</v>
      </c>
      <c r="H144" s="38">
        <f>'Stavební rozpočet'!H161</f>
        <v>0</v>
      </c>
      <c r="I144" s="38">
        <f t="shared" si="22"/>
        <v>0</v>
      </c>
      <c r="J144" s="38">
        <f t="shared" si="23"/>
        <v>0</v>
      </c>
      <c r="K144" s="38">
        <f t="shared" si="24"/>
        <v>0</v>
      </c>
      <c r="L144" s="38">
        <f>'Stavební rozpočet'!N161</f>
        <v>0</v>
      </c>
      <c r="M144" s="62">
        <f t="shared" si="25"/>
        <v>0</v>
      </c>
      <c r="HV144" s="3" t="s">
        <v>336</v>
      </c>
      <c r="HW144" s="3" t="s">
        <v>616</v>
      </c>
      <c r="IR144" s="63">
        <f>H144*0.855861751</f>
        <v>0</v>
      </c>
      <c r="IS144" s="63">
        <f>H144*(1-0.855861751)</f>
        <v>0</v>
      </c>
    </row>
    <row r="145" spans="1:253" x14ac:dyDescent="0.25">
      <c r="A145" s="61">
        <v>93</v>
      </c>
      <c r="B145" s="3" t="s">
        <v>51</v>
      </c>
      <c r="C145" s="3" t="s">
        <v>404</v>
      </c>
      <c r="D145" s="5" t="s">
        <v>405</v>
      </c>
      <c r="E145" s="3" t="s">
        <v>66</v>
      </c>
      <c r="F145" s="3" t="s">
        <v>701</v>
      </c>
      <c r="G145" s="38">
        <f>'Stavební rozpočet'!G162</f>
        <v>6</v>
      </c>
      <c r="H145" s="38">
        <f>'Stavební rozpočet'!H162</f>
        <v>0</v>
      </c>
      <c r="I145" s="38">
        <f t="shared" si="22"/>
        <v>0</v>
      </c>
      <c r="J145" s="38">
        <f t="shared" si="23"/>
        <v>0</v>
      </c>
      <c r="K145" s="38">
        <f t="shared" si="24"/>
        <v>0</v>
      </c>
      <c r="L145" s="38">
        <f>'Stavební rozpočet'!N162</f>
        <v>4.0000000000000003E-5</v>
      </c>
      <c r="M145" s="62">
        <f t="shared" si="25"/>
        <v>2.4000000000000003E-4</v>
      </c>
      <c r="HV145" s="3" t="s">
        <v>336</v>
      </c>
      <c r="HW145" s="3" t="s">
        <v>616</v>
      </c>
      <c r="IR145" s="63">
        <f>H145*0.031931624</f>
        <v>0</v>
      </c>
      <c r="IS145" s="63">
        <f>H145*(1-0.031931624)</f>
        <v>0</v>
      </c>
    </row>
    <row r="146" spans="1:253" x14ac:dyDescent="0.25">
      <c r="A146" s="61">
        <v>94</v>
      </c>
      <c r="B146" s="3" t="s">
        <v>51</v>
      </c>
      <c r="C146" s="3" t="s">
        <v>407</v>
      </c>
      <c r="D146" s="5" t="s">
        <v>408</v>
      </c>
      <c r="E146" s="3" t="s">
        <v>66</v>
      </c>
      <c r="F146" s="3" t="s">
        <v>698</v>
      </c>
      <c r="G146" s="38">
        <f>'Stavební rozpočet'!G163</f>
        <v>2</v>
      </c>
      <c r="H146" s="38">
        <f>'Stavební rozpočet'!H163</f>
        <v>0</v>
      </c>
      <c r="I146" s="38">
        <f t="shared" si="22"/>
        <v>0</v>
      </c>
      <c r="J146" s="38">
        <f t="shared" si="23"/>
        <v>0</v>
      </c>
      <c r="K146" s="38">
        <f t="shared" si="24"/>
        <v>0</v>
      </c>
      <c r="L146" s="38">
        <f>'Stavební rozpočet'!N163</f>
        <v>8.4999999999999995E-4</v>
      </c>
      <c r="M146" s="62">
        <f t="shared" si="25"/>
        <v>1.6999999999999999E-3</v>
      </c>
      <c r="HV146" s="3" t="s">
        <v>336</v>
      </c>
      <c r="HW146" s="3" t="s">
        <v>616</v>
      </c>
      <c r="IR146" s="63">
        <f>H146*0.884522449</f>
        <v>0</v>
      </c>
      <c r="IS146" s="63">
        <f>H146*(1-0.884522449)</f>
        <v>0</v>
      </c>
    </row>
    <row r="147" spans="1:253" ht="25.5" x14ac:dyDescent="0.25">
      <c r="A147" s="61">
        <v>95</v>
      </c>
      <c r="B147" s="3" t="s">
        <v>51</v>
      </c>
      <c r="C147" s="3" t="s">
        <v>410</v>
      </c>
      <c r="D147" s="5" t="s">
        <v>411</v>
      </c>
      <c r="E147" s="3" t="s">
        <v>66</v>
      </c>
      <c r="F147" s="3" t="s">
        <v>702</v>
      </c>
      <c r="G147" s="38">
        <f>'Stavební rozpočet'!G164</f>
        <v>4</v>
      </c>
      <c r="H147" s="38">
        <f>'Stavební rozpočet'!H164</f>
        <v>0</v>
      </c>
      <c r="I147" s="38">
        <f t="shared" si="22"/>
        <v>0</v>
      </c>
      <c r="J147" s="38">
        <f t="shared" si="23"/>
        <v>0</v>
      </c>
      <c r="K147" s="38">
        <f t="shared" si="24"/>
        <v>0</v>
      </c>
      <c r="L147" s="38">
        <f>'Stavební rozpočet'!N164</f>
        <v>1.8E-3</v>
      </c>
      <c r="M147" s="62">
        <f t="shared" si="25"/>
        <v>7.1999999999999998E-3</v>
      </c>
      <c r="HV147" s="3" t="s">
        <v>336</v>
      </c>
      <c r="HW147" s="3" t="s">
        <v>616</v>
      </c>
      <c r="IR147" s="63">
        <f>H147*0.961249655</f>
        <v>0</v>
      </c>
      <c r="IS147" s="63">
        <f>H147*(1-0.961249655)</f>
        <v>0</v>
      </c>
    </row>
    <row r="148" spans="1:253" ht="40.5" customHeight="1" x14ac:dyDescent="0.25">
      <c r="A148" s="42"/>
      <c r="D148" s="5" t="s">
        <v>412</v>
      </c>
      <c r="M148" s="64"/>
    </row>
    <row r="149" spans="1:253" x14ac:dyDescent="0.25">
      <c r="A149" s="61">
        <v>96</v>
      </c>
      <c r="B149" s="3" t="s">
        <v>51</v>
      </c>
      <c r="C149" s="3" t="s">
        <v>413</v>
      </c>
      <c r="D149" s="5" t="s">
        <v>414</v>
      </c>
      <c r="E149" s="3" t="s">
        <v>118</v>
      </c>
      <c r="F149" s="3" t="s">
        <v>703</v>
      </c>
      <c r="G149" s="38">
        <f>'Stavební rozpočet'!G166</f>
        <v>2</v>
      </c>
      <c r="H149" s="38">
        <f>'Stavební rozpočet'!H166</f>
        <v>0</v>
      </c>
      <c r="I149" s="38">
        <f>ROUND(IR149*G149,2)</f>
        <v>0</v>
      </c>
      <c r="J149" s="38">
        <f>ROUND(IS149*G149,2)</f>
        <v>0</v>
      </c>
      <c r="K149" s="38">
        <f>ROUND(IR149*G149+IS149*G149,2)</f>
        <v>0</v>
      </c>
      <c r="L149" s="38">
        <f>'Stavební rozpočet'!N166</f>
        <v>7.6000000000000004E-4</v>
      </c>
      <c r="M149" s="62">
        <f>L149*G149</f>
        <v>1.5200000000000001E-3</v>
      </c>
      <c r="HV149" s="3" t="s">
        <v>336</v>
      </c>
      <c r="HW149" s="3" t="s">
        <v>616</v>
      </c>
      <c r="IR149" s="63">
        <f>H149*0.849426667</f>
        <v>0</v>
      </c>
      <c r="IS149" s="63">
        <f>H149*(1-0.849426667)</f>
        <v>0</v>
      </c>
    </row>
    <row r="150" spans="1:253" x14ac:dyDescent="0.25">
      <c r="A150" s="61">
        <v>97</v>
      </c>
      <c r="B150" s="3" t="s">
        <v>51</v>
      </c>
      <c r="C150" s="3" t="s">
        <v>416</v>
      </c>
      <c r="D150" s="5" t="s">
        <v>417</v>
      </c>
      <c r="E150" s="3" t="s">
        <v>118</v>
      </c>
      <c r="F150" s="3" t="s">
        <v>704</v>
      </c>
      <c r="G150" s="38">
        <f>'Stavební rozpočet'!G167</f>
        <v>2</v>
      </c>
      <c r="H150" s="38">
        <f>'Stavební rozpočet'!H167</f>
        <v>0</v>
      </c>
      <c r="I150" s="38">
        <f>ROUND(IR150*G150,2)</f>
        <v>0</v>
      </c>
      <c r="J150" s="38">
        <f>ROUND(IS150*G150,2)</f>
        <v>0</v>
      </c>
      <c r="K150" s="38">
        <f>ROUND(IR150*G150+IS150*G150,2)</f>
        <v>0</v>
      </c>
      <c r="L150" s="38">
        <f>'Stavební rozpočet'!N167</f>
        <v>8.7000000000000001E-4</v>
      </c>
      <c r="M150" s="62">
        <f>L150*G150</f>
        <v>1.74E-3</v>
      </c>
      <c r="HV150" s="3" t="s">
        <v>336</v>
      </c>
      <c r="HW150" s="3" t="s">
        <v>616</v>
      </c>
      <c r="IR150" s="63">
        <f>H150*0.217154472</f>
        <v>0</v>
      </c>
      <c r="IS150" s="63">
        <f>H150*(1-0.217154472)</f>
        <v>0</v>
      </c>
    </row>
    <row r="151" spans="1:253" x14ac:dyDescent="0.25">
      <c r="A151" s="61">
        <v>98</v>
      </c>
      <c r="B151" s="3" t="s">
        <v>51</v>
      </c>
      <c r="C151" s="3" t="s">
        <v>420</v>
      </c>
      <c r="D151" s="5" t="s">
        <v>421</v>
      </c>
      <c r="E151" s="3" t="s">
        <v>118</v>
      </c>
      <c r="F151" s="3" t="s">
        <v>705</v>
      </c>
      <c r="G151" s="38">
        <f>'Stavební rozpočet'!G169</f>
        <v>2</v>
      </c>
      <c r="H151" s="38">
        <f>'Stavební rozpočet'!H169</f>
        <v>0</v>
      </c>
      <c r="I151" s="38">
        <f>ROUND(IR151*G151,2)</f>
        <v>0</v>
      </c>
      <c r="J151" s="38">
        <f>ROUND(IS151*G151,2)</f>
        <v>0</v>
      </c>
      <c r="K151" s="38">
        <f>ROUND(IR151*G151+IS151*G151,2)</f>
        <v>0</v>
      </c>
      <c r="L151" s="38">
        <f>'Stavební rozpočet'!N169</f>
        <v>1.9869999999999999E-2</v>
      </c>
      <c r="M151" s="62">
        <f>L151*G151</f>
        <v>3.9739999999999998E-2</v>
      </c>
      <c r="HV151" s="3" t="s">
        <v>336</v>
      </c>
      <c r="HW151" s="3" t="s">
        <v>616</v>
      </c>
      <c r="IR151" s="63">
        <f>H151*0.871904762</f>
        <v>0</v>
      </c>
      <c r="IS151" s="63">
        <f>H151*(1-0.871904762)</f>
        <v>0</v>
      </c>
    </row>
    <row r="152" spans="1:253" x14ac:dyDescent="0.25">
      <c r="A152" s="59" t="s">
        <v>4</v>
      </c>
      <c r="B152" s="34" t="s">
        <v>51</v>
      </c>
      <c r="C152" s="34" t="s">
        <v>423</v>
      </c>
      <c r="D152" s="35" t="s">
        <v>424</v>
      </c>
      <c r="E152" s="34" t="s">
        <v>4</v>
      </c>
      <c r="F152" s="34" t="s">
        <v>4</v>
      </c>
      <c r="G152" s="13" t="s">
        <v>4</v>
      </c>
      <c r="H152" s="13" t="s">
        <v>4</v>
      </c>
      <c r="I152" s="1">
        <f>SUM(I153:I153)</f>
        <v>0</v>
      </c>
      <c r="J152" s="1">
        <f>SUM(J153:J153)</f>
        <v>0</v>
      </c>
      <c r="K152" s="1">
        <f>SUM(K153:K153)</f>
        <v>0</v>
      </c>
      <c r="L152" s="13" t="s">
        <v>4</v>
      </c>
      <c r="M152" s="60">
        <f>SUM(M153:M153)</f>
        <v>2.5940000000000001E-2</v>
      </c>
    </row>
    <row r="153" spans="1:253" x14ac:dyDescent="0.25">
      <c r="A153" s="61">
        <v>99</v>
      </c>
      <c r="B153" s="3" t="s">
        <v>51</v>
      </c>
      <c r="C153" s="3" t="s">
        <v>426</v>
      </c>
      <c r="D153" s="5" t="s">
        <v>427</v>
      </c>
      <c r="E153" s="3" t="s">
        <v>118</v>
      </c>
      <c r="F153" s="3" t="s">
        <v>706</v>
      </c>
      <c r="G153" s="38">
        <f>'Stavební rozpočet'!G172</f>
        <v>2</v>
      </c>
      <c r="H153" s="38">
        <f>'Stavební rozpočet'!H172</f>
        <v>0</v>
      </c>
      <c r="I153" s="38">
        <f>ROUND(IR153*G153,2)</f>
        <v>0</v>
      </c>
      <c r="J153" s="38">
        <f>ROUND(IS153*G153,2)</f>
        <v>0</v>
      </c>
      <c r="K153" s="38">
        <f>ROUND(IR153*G153+IS153*G153,2)</f>
        <v>0</v>
      </c>
      <c r="L153" s="38">
        <f>'Stavební rozpočet'!N172</f>
        <v>1.2970000000000001E-2</v>
      </c>
      <c r="M153" s="62">
        <f>L153*G153</f>
        <v>2.5940000000000001E-2</v>
      </c>
      <c r="HV153" s="3" t="s">
        <v>423</v>
      </c>
      <c r="HW153" s="3" t="s">
        <v>616</v>
      </c>
      <c r="IR153" s="63">
        <f>H153*0.883307522</f>
        <v>0</v>
      </c>
      <c r="IS153" s="63">
        <f>H153*(1-0.883307522)</f>
        <v>0</v>
      </c>
    </row>
    <row r="154" spans="1:253" x14ac:dyDescent="0.25">
      <c r="A154" s="59" t="s">
        <v>4</v>
      </c>
      <c r="B154" s="34" t="s">
        <v>51</v>
      </c>
      <c r="C154" s="34" t="s">
        <v>430</v>
      </c>
      <c r="D154" s="35" t="s">
        <v>431</v>
      </c>
      <c r="E154" s="34" t="s">
        <v>4</v>
      </c>
      <c r="F154" s="34" t="s">
        <v>4</v>
      </c>
      <c r="G154" s="13" t="s">
        <v>4</v>
      </c>
      <c r="H154" s="13" t="s">
        <v>4</v>
      </c>
      <c r="I154" s="1">
        <f>SUM(I155:I155)</f>
        <v>0</v>
      </c>
      <c r="J154" s="1">
        <f>SUM(J155:J155)</f>
        <v>0</v>
      </c>
      <c r="K154" s="1">
        <f>SUM(K155:K155)</f>
        <v>0</v>
      </c>
      <c r="L154" s="13" t="s">
        <v>4</v>
      </c>
      <c r="M154" s="60">
        <f>SUM(M155:M155)</f>
        <v>0</v>
      </c>
    </row>
    <row r="155" spans="1:253" x14ac:dyDescent="0.25">
      <c r="A155" s="61">
        <v>100</v>
      </c>
      <c r="B155" s="3" t="s">
        <v>51</v>
      </c>
      <c r="C155" s="3" t="s">
        <v>112</v>
      </c>
      <c r="D155" s="5" t="s">
        <v>433</v>
      </c>
      <c r="E155" s="3" t="s">
        <v>118</v>
      </c>
      <c r="F155" s="3" t="s">
        <v>707</v>
      </c>
      <c r="G155" s="38">
        <f>'Stavební rozpočet'!G175</f>
        <v>1</v>
      </c>
      <c r="H155" s="38">
        <f>'Stavební rozpočet'!H175</f>
        <v>0</v>
      </c>
      <c r="I155" s="38">
        <f>ROUND(IR155*G155,2)</f>
        <v>0</v>
      </c>
      <c r="J155" s="38">
        <f>ROUND(IS155*G155,2)</f>
        <v>0</v>
      </c>
      <c r="K155" s="38">
        <f>ROUND(IR155*G155+IS155*G155,2)</f>
        <v>0</v>
      </c>
      <c r="L155" s="38">
        <f>'Stavební rozpočet'!N175</f>
        <v>0</v>
      </c>
      <c r="M155" s="62">
        <f>L155*G155</f>
        <v>0</v>
      </c>
      <c r="HV155" s="3" t="s">
        <v>430</v>
      </c>
      <c r="HW155" s="3" t="s">
        <v>616</v>
      </c>
      <c r="IR155" s="63">
        <f>H155*0</f>
        <v>0</v>
      </c>
      <c r="IS155" s="63">
        <f>H155*(1-0)</f>
        <v>0</v>
      </c>
    </row>
    <row r="156" spans="1:253" x14ac:dyDescent="0.25">
      <c r="A156" s="59" t="s">
        <v>4</v>
      </c>
      <c r="B156" s="34" t="s">
        <v>51</v>
      </c>
      <c r="C156" s="34" t="s">
        <v>435</v>
      </c>
      <c r="D156" s="35" t="s">
        <v>436</v>
      </c>
      <c r="E156" s="34" t="s">
        <v>4</v>
      </c>
      <c r="F156" s="34" t="s">
        <v>4</v>
      </c>
      <c r="G156" s="13" t="s">
        <v>4</v>
      </c>
      <c r="H156" s="13" t="s">
        <v>4</v>
      </c>
      <c r="I156" s="1">
        <f>SUM(I157:I164)</f>
        <v>0</v>
      </c>
      <c r="J156" s="1">
        <f>SUM(J157:J164)</f>
        <v>0</v>
      </c>
      <c r="K156" s="1">
        <f>SUM(K157:K164)</f>
        <v>0</v>
      </c>
      <c r="L156" s="13" t="s">
        <v>4</v>
      </c>
      <c r="M156" s="60">
        <f>SUM(M157:M164)</f>
        <v>0.32342399999999999</v>
      </c>
    </row>
    <row r="157" spans="1:253" x14ac:dyDescent="0.25">
      <c r="A157" s="61">
        <v>101</v>
      </c>
      <c r="B157" s="3" t="s">
        <v>51</v>
      </c>
      <c r="C157" s="3" t="s">
        <v>438</v>
      </c>
      <c r="D157" s="5" t="s">
        <v>439</v>
      </c>
      <c r="E157" s="3" t="s">
        <v>100</v>
      </c>
      <c r="F157" s="3" t="s">
        <v>708</v>
      </c>
      <c r="G157" s="38">
        <f>'Stavební rozpočet'!G177</f>
        <v>9.6</v>
      </c>
      <c r="H157" s="38">
        <f>'Stavební rozpočet'!H177</f>
        <v>0</v>
      </c>
      <c r="I157" s="38">
        <f t="shared" ref="I157:I164" si="26">ROUND(IR157*G157,2)</f>
        <v>0</v>
      </c>
      <c r="J157" s="38">
        <f t="shared" ref="J157:J164" si="27">ROUND(IS157*G157,2)</f>
        <v>0</v>
      </c>
      <c r="K157" s="38">
        <f t="shared" ref="K157:K164" si="28">ROUND(IR157*G157+IS157*G157,2)</f>
        <v>0</v>
      </c>
      <c r="L157" s="38">
        <f>'Stavební rozpočet'!N177</f>
        <v>5.9300000000000004E-3</v>
      </c>
      <c r="M157" s="62">
        <f t="shared" ref="M157:M164" si="29">L157*G157</f>
        <v>5.6927999999999999E-2</v>
      </c>
      <c r="HV157" s="3" t="s">
        <v>435</v>
      </c>
      <c r="HW157" s="3" t="s">
        <v>616</v>
      </c>
      <c r="IR157" s="63">
        <f>H157*0.167449139</f>
        <v>0</v>
      </c>
      <c r="IS157" s="63">
        <f>H157*(1-0.167449139)</f>
        <v>0</v>
      </c>
    </row>
    <row r="158" spans="1:253" x14ac:dyDescent="0.25">
      <c r="A158" s="61">
        <v>102</v>
      </c>
      <c r="B158" s="3" t="s">
        <v>51</v>
      </c>
      <c r="C158" s="3" t="s">
        <v>444</v>
      </c>
      <c r="D158" s="5" t="s">
        <v>445</v>
      </c>
      <c r="E158" s="3" t="s">
        <v>100</v>
      </c>
      <c r="F158" s="3" t="s">
        <v>709</v>
      </c>
      <c r="G158" s="38">
        <f>'Stavební rozpočet'!G179</f>
        <v>9.6</v>
      </c>
      <c r="H158" s="38">
        <f>'Stavební rozpočet'!H179</f>
        <v>0</v>
      </c>
      <c r="I158" s="38">
        <f t="shared" si="26"/>
        <v>0</v>
      </c>
      <c r="J158" s="38">
        <f t="shared" si="27"/>
        <v>0</v>
      </c>
      <c r="K158" s="38">
        <f t="shared" si="28"/>
        <v>0</v>
      </c>
      <c r="L158" s="38">
        <f>'Stavební rozpočet'!N179</f>
        <v>7.6000000000000004E-4</v>
      </c>
      <c r="M158" s="62">
        <f t="shared" si="29"/>
        <v>7.2960000000000004E-3</v>
      </c>
      <c r="HV158" s="3" t="s">
        <v>435</v>
      </c>
      <c r="HW158" s="3" t="s">
        <v>616</v>
      </c>
      <c r="IR158" s="63">
        <f>H158*0.580631763</f>
        <v>0</v>
      </c>
      <c r="IS158" s="63">
        <f>H158*(1-0.580631763)</f>
        <v>0</v>
      </c>
    </row>
    <row r="159" spans="1:253" x14ac:dyDescent="0.25">
      <c r="A159" s="61">
        <v>103</v>
      </c>
      <c r="B159" s="3" t="s">
        <v>51</v>
      </c>
      <c r="C159" s="3" t="s">
        <v>448</v>
      </c>
      <c r="D159" s="5" t="s">
        <v>449</v>
      </c>
      <c r="E159" s="3" t="s">
        <v>66</v>
      </c>
      <c r="F159" s="3" t="s">
        <v>710</v>
      </c>
      <c r="G159" s="38">
        <f>'Stavební rozpočet'!G181</f>
        <v>16</v>
      </c>
      <c r="H159" s="38">
        <f>'Stavební rozpočet'!H181</f>
        <v>0</v>
      </c>
      <c r="I159" s="38">
        <f t="shared" si="26"/>
        <v>0</v>
      </c>
      <c r="J159" s="38">
        <f t="shared" si="27"/>
        <v>0</v>
      </c>
      <c r="K159" s="38">
        <f t="shared" si="28"/>
        <v>0</v>
      </c>
      <c r="L159" s="38">
        <f>'Stavební rozpočet'!N181</f>
        <v>0</v>
      </c>
      <c r="M159" s="62">
        <f t="shared" si="29"/>
        <v>0</v>
      </c>
      <c r="HV159" s="3" t="s">
        <v>435</v>
      </c>
      <c r="HW159" s="3" t="s">
        <v>616</v>
      </c>
      <c r="IR159" s="63">
        <f>H159*0</f>
        <v>0</v>
      </c>
      <c r="IS159" s="63">
        <f>H159*(1-0)</f>
        <v>0</v>
      </c>
    </row>
    <row r="160" spans="1:253" x14ac:dyDescent="0.25">
      <c r="A160" s="61">
        <v>104</v>
      </c>
      <c r="B160" s="3" t="s">
        <v>51</v>
      </c>
      <c r="C160" s="3" t="s">
        <v>451</v>
      </c>
      <c r="D160" s="5" t="s">
        <v>452</v>
      </c>
      <c r="E160" s="3" t="s">
        <v>66</v>
      </c>
      <c r="F160" s="3" t="s">
        <v>711</v>
      </c>
      <c r="G160" s="38">
        <f>'Stavební rozpočet'!G182</f>
        <v>2</v>
      </c>
      <c r="H160" s="38">
        <f>'Stavební rozpočet'!H182</f>
        <v>0</v>
      </c>
      <c r="I160" s="38">
        <f t="shared" si="26"/>
        <v>0</v>
      </c>
      <c r="J160" s="38">
        <f t="shared" si="27"/>
        <v>0</v>
      </c>
      <c r="K160" s="38">
        <f t="shared" si="28"/>
        <v>0</v>
      </c>
      <c r="L160" s="38">
        <f>'Stavební rozpočet'!N182</f>
        <v>0</v>
      </c>
      <c r="M160" s="62">
        <f t="shared" si="29"/>
        <v>0</v>
      </c>
      <c r="HV160" s="3" t="s">
        <v>435</v>
      </c>
      <c r="HW160" s="3" t="s">
        <v>616</v>
      </c>
      <c r="IR160" s="63">
        <f>H160*0</f>
        <v>0</v>
      </c>
      <c r="IS160" s="63">
        <f>H160*(1-0)</f>
        <v>0</v>
      </c>
    </row>
    <row r="161" spans="1:253" ht="25.5" x14ac:dyDescent="0.25">
      <c r="A161" s="61">
        <v>105</v>
      </c>
      <c r="B161" s="3" t="s">
        <v>51</v>
      </c>
      <c r="C161" s="3" t="s">
        <v>455</v>
      </c>
      <c r="D161" s="5" t="s">
        <v>456</v>
      </c>
      <c r="E161" s="3" t="s">
        <v>66</v>
      </c>
      <c r="F161" s="3" t="s">
        <v>711</v>
      </c>
      <c r="G161" s="38">
        <f>'Stavební rozpočet'!G184</f>
        <v>2</v>
      </c>
      <c r="H161" s="38">
        <f>'Stavební rozpočet'!H184</f>
        <v>0</v>
      </c>
      <c r="I161" s="38">
        <f t="shared" si="26"/>
        <v>0</v>
      </c>
      <c r="J161" s="38">
        <f t="shared" si="27"/>
        <v>0</v>
      </c>
      <c r="K161" s="38">
        <f t="shared" si="28"/>
        <v>0</v>
      </c>
      <c r="L161" s="38">
        <f>'Stavební rozpočet'!N184</f>
        <v>8.3599999999999994E-2</v>
      </c>
      <c r="M161" s="62">
        <f t="shared" si="29"/>
        <v>0.16719999999999999</v>
      </c>
      <c r="HV161" s="3" t="s">
        <v>435</v>
      </c>
      <c r="HW161" s="3" t="s">
        <v>647</v>
      </c>
      <c r="IR161" s="63">
        <f>H161*1</f>
        <v>0</v>
      </c>
      <c r="IS161" s="63">
        <f>H161*(1-1)</f>
        <v>0</v>
      </c>
    </row>
    <row r="162" spans="1:253" x14ac:dyDescent="0.25">
      <c r="A162" s="61">
        <v>106</v>
      </c>
      <c r="B162" s="3" t="s">
        <v>51</v>
      </c>
      <c r="C162" s="3" t="s">
        <v>459</v>
      </c>
      <c r="D162" s="5" t="s">
        <v>460</v>
      </c>
      <c r="E162" s="3" t="s">
        <v>66</v>
      </c>
      <c r="F162" s="3" t="s">
        <v>712</v>
      </c>
      <c r="G162" s="38">
        <f>'Stavební rozpočet'!G186</f>
        <v>2</v>
      </c>
      <c r="H162" s="38">
        <f>'Stavební rozpočet'!H186</f>
        <v>0</v>
      </c>
      <c r="I162" s="38">
        <f t="shared" si="26"/>
        <v>0</v>
      </c>
      <c r="J162" s="38">
        <f t="shared" si="27"/>
        <v>0</v>
      </c>
      <c r="K162" s="38">
        <f t="shared" si="28"/>
        <v>0</v>
      </c>
      <c r="L162" s="38">
        <f>'Stavební rozpočet'!N186</f>
        <v>0</v>
      </c>
      <c r="M162" s="62">
        <f t="shared" si="29"/>
        <v>0</v>
      </c>
      <c r="HV162" s="3" t="s">
        <v>435</v>
      </c>
      <c r="HW162" s="3" t="s">
        <v>616</v>
      </c>
      <c r="IR162" s="63">
        <f>H162*0.305620205</f>
        <v>0</v>
      </c>
      <c r="IS162" s="63">
        <f>H162*(1-0.305620205)</f>
        <v>0</v>
      </c>
    </row>
    <row r="163" spans="1:253" ht="25.5" x14ac:dyDescent="0.25">
      <c r="A163" s="61">
        <v>107</v>
      </c>
      <c r="B163" s="3" t="s">
        <v>51</v>
      </c>
      <c r="C163" s="3" t="s">
        <v>462</v>
      </c>
      <c r="D163" s="5" t="s">
        <v>463</v>
      </c>
      <c r="E163" s="3" t="s">
        <v>66</v>
      </c>
      <c r="F163" s="3" t="s">
        <v>713</v>
      </c>
      <c r="G163" s="38">
        <f>'Stavební rozpočet'!G187</f>
        <v>2</v>
      </c>
      <c r="H163" s="38">
        <f>'Stavební rozpočet'!H187</f>
        <v>0</v>
      </c>
      <c r="I163" s="38">
        <f t="shared" si="26"/>
        <v>0</v>
      </c>
      <c r="J163" s="38">
        <f t="shared" si="27"/>
        <v>0</v>
      </c>
      <c r="K163" s="38">
        <f t="shared" si="28"/>
        <v>0</v>
      </c>
      <c r="L163" s="38">
        <f>'Stavební rozpočet'!N187</f>
        <v>4.5999999999999999E-2</v>
      </c>
      <c r="M163" s="62">
        <f t="shared" si="29"/>
        <v>9.1999999999999998E-2</v>
      </c>
      <c r="HV163" s="3" t="s">
        <v>435</v>
      </c>
      <c r="HW163" s="3" t="s">
        <v>647</v>
      </c>
      <c r="IR163" s="63">
        <f>H163*1</f>
        <v>0</v>
      </c>
      <c r="IS163" s="63">
        <f>H163*(1-1)</f>
        <v>0</v>
      </c>
    </row>
    <row r="164" spans="1:253" x14ac:dyDescent="0.25">
      <c r="A164" s="61">
        <v>108</v>
      </c>
      <c r="B164" s="3" t="s">
        <v>51</v>
      </c>
      <c r="C164" s="3" t="s">
        <v>466</v>
      </c>
      <c r="D164" s="5" t="s">
        <v>467</v>
      </c>
      <c r="E164" s="3" t="s">
        <v>134</v>
      </c>
      <c r="F164" s="3" t="s">
        <v>50</v>
      </c>
      <c r="G164" s="38">
        <f>'Stavební rozpočet'!G189</f>
        <v>0.32341999999999999</v>
      </c>
      <c r="H164" s="38">
        <f>'Stavební rozpočet'!H189</f>
        <v>0</v>
      </c>
      <c r="I164" s="38">
        <f t="shared" si="26"/>
        <v>0</v>
      </c>
      <c r="J164" s="38">
        <f t="shared" si="27"/>
        <v>0</v>
      </c>
      <c r="K164" s="38">
        <f t="shared" si="28"/>
        <v>0</v>
      </c>
      <c r="L164" s="38">
        <f>'Stavební rozpočet'!N189</f>
        <v>0</v>
      </c>
      <c r="M164" s="62">
        <f t="shared" si="29"/>
        <v>0</v>
      </c>
      <c r="HV164" s="3" t="s">
        <v>435</v>
      </c>
      <c r="HW164" s="3" t="s">
        <v>616</v>
      </c>
      <c r="IR164" s="63">
        <f>H164*0</f>
        <v>0</v>
      </c>
      <c r="IS164" s="63">
        <f>H164*(1-0)</f>
        <v>0</v>
      </c>
    </row>
    <row r="165" spans="1:253" x14ac:dyDescent="0.25">
      <c r="A165" s="59" t="s">
        <v>4</v>
      </c>
      <c r="B165" s="34" t="s">
        <v>51</v>
      </c>
      <c r="C165" s="34" t="s">
        <v>468</v>
      </c>
      <c r="D165" s="35" t="s">
        <v>469</v>
      </c>
      <c r="E165" s="34" t="s">
        <v>4</v>
      </c>
      <c r="F165" s="34" t="s">
        <v>4</v>
      </c>
      <c r="G165" s="13" t="s">
        <v>4</v>
      </c>
      <c r="H165" s="13" t="s">
        <v>4</v>
      </c>
      <c r="I165" s="1">
        <f>SUM(I166:I181)</f>
        <v>0</v>
      </c>
      <c r="J165" s="1">
        <f>SUM(J166:J181)</f>
        <v>0</v>
      </c>
      <c r="K165" s="1">
        <f>SUM(K166:K181)</f>
        <v>0</v>
      </c>
      <c r="L165" s="13" t="s">
        <v>4</v>
      </c>
      <c r="M165" s="60">
        <f>SUM(M166:M181)</f>
        <v>0.49265000000000003</v>
      </c>
    </row>
    <row r="166" spans="1:253" x14ac:dyDescent="0.25">
      <c r="A166" s="61">
        <v>109</v>
      </c>
      <c r="B166" s="3" t="s">
        <v>51</v>
      </c>
      <c r="C166" s="3" t="s">
        <v>471</v>
      </c>
      <c r="D166" s="5" t="s">
        <v>472</v>
      </c>
      <c r="E166" s="3" t="s">
        <v>66</v>
      </c>
      <c r="F166" s="3" t="s">
        <v>714</v>
      </c>
      <c r="G166" s="38">
        <f>'Stavební rozpočet'!G191</f>
        <v>2</v>
      </c>
      <c r="H166" s="38">
        <f>'Stavební rozpočet'!H191</f>
        <v>0</v>
      </c>
      <c r="I166" s="38">
        <f t="shared" ref="I166:I181" si="30">ROUND(IR166*G166,2)</f>
        <v>0</v>
      </c>
      <c r="J166" s="38">
        <f t="shared" ref="J166:J181" si="31">ROUND(IS166*G166,2)</f>
        <v>0</v>
      </c>
      <c r="K166" s="38">
        <f t="shared" ref="K166:K181" si="32">ROUND(IR166*G166+IS166*G166,2)</f>
        <v>0</v>
      </c>
      <c r="L166" s="38">
        <f>'Stavební rozpočet'!N191</f>
        <v>6.4999999999999997E-4</v>
      </c>
      <c r="M166" s="62">
        <f t="shared" ref="M166:M181" si="33">L166*G166</f>
        <v>1.2999999999999999E-3</v>
      </c>
      <c r="HV166" s="3" t="s">
        <v>468</v>
      </c>
      <c r="HW166" s="3" t="s">
        <v>616</v>
      </c>
      <c r="IR166" s="63">
        <f>H166*0.01929082</f>
        <v>0</v>
      </c>
      <c r="IS166" s="63">
        <f>H166*(1-0.01929082)</f>
        <v>0</v>
      </c>
    </row>
    <row r="167" spans="1:253" ht="25.5" x14ac:dyDescent="0.25">
      <c r="A167" s="61">
        <v>110</v>
      </c>
      <c r="B167" s="3" t="s">
        <v>51</v>
      </c>
      <c r="C167" s="3" t="s">
        <v>477</v>
      </c>
      <c r="D167" s="5" t="s">
        <v>478</v>
      </c>
      <c r="E167" s="3" t="s">
        <v>66</v>
      </c>
      <c r="F167" s="3" t="s">
        <v>714</v>
      </c>
      <c r="G167" s="38">
        <f>'Stavební rozpočet'!G193</f>
        <v>2</v>
      </c>
      <c r="H167" s="38">
        <f>'Stavební rozpočet'!H193</f>
        <v>0</v>
      </c>
      <c r="I167" s="38">
        <f t="shared" si="30"/>
        <v>0</v>
      </c>
      <c r="J167" s="38">
        <f t="shared" si="31"/>
        <v>0</v>
      </c>
      <c r="K167" s="38">
        <f t="shared" si="32"/>
        <v>0</v>
      </c>
      <c r="L167" s="38">
        <f>'Stavební rozpočet'!N193</f>
        <v>3.5000000000000003E-2</v>
      </c>
      <c r="M167" s="62">
        <f t="shared" si="33"/>
        <v>7.0000000000000007E-2</v>
      </c>
      <c r="HV167" s="3" t="s">
        <v>468</v>
      </c>
      <c r="HW167" s="3" t="s">
        <v>647</v>
      </c>
      <c r="IR167" s="63">
        <f>H167*1</f>
        <v>0</v>
      </c>
      <c r="IS167" s="63">
        <f>H167*(1-1)</f>
        <v>0</v>
      </c>
    </row>
    <row r="168" spans="1:253" x14ac:dyDescent="0.25">
      <c r="A168" s="61">
        <v>111</v>
      </c>
      <c r="B168" s="3" t="s">
        <v>51</v>
      </c>
      <c r="C168" s="3" t="s">
        <v>481</v>
      </c>
      <c r="D168" s="5" t="s">
        <v>482</v>
      </c>
      <c r="E168" s="3" t="s">
        <v>66</v>
      </c>
      <c r="F168" s="3" t="s">
        <v>715</v>
      </c>
      <c r="G168" s="38">
        <f>'Stavební rozpočet'!G195</f>
        <v>2</v>
      </c>
      <c r="H168" s="38">
        <f>'Stavební rozpočet'!H195</f>
        <v>0</v>
      </c>
      <c r="I168" s="38">
        <f t="shared" si="30"/>
        <v>0</v>
      </c>
      <c r="J168" s="38">
        <f t="shared" si="31"/>
        <v>0</v>
      </c>
      <c r="K168" s="38">
        <f t="shared" si="32"/>
        <v>0</v>
      </c>
      <c r="L168" s="38">
        <f>'Stavební rozpočet'!N195</f>
        <v>0.05</v>
      </c>
      <c r="M168" s="62">
        <f t="shared" si="33"/>
        <v>0.1</v>
      </c>
      <c r="HV168" s="3" t="s">
        <v>468</v>
      </c>
      <c r="HW168" s="3" t="s">
        <v>647</v>
      </c>
      <c r="IR168" s="63">
        <f>H168*1</f>
        <v>0</v>
      </c>
      <c r="IS168" s="63">
        <f>H168*(1-1)</f>
        <v>0</v>
      </c>
    </row>
    <row r="169" spans="1:253" x14ac:dyDescent="0.25">
      <c r="A169" s="61">
        <v>112</v>
      </c>
      <c r="B169" s="3" t="s">
        <v>51</v>
      </c>
      <c r="C169" s="3" t="s">
        <v>485</v>
      </c>
      <c r="D169" s="5" t="s">
        <v>486</v>
      </c>
      <c r="E169" s="3" t="s">
        <v>66</v>
      </c>
      <c r="F169" s="3" t="s">
        <v>716</v>
      </c>
      <c r="G169" s="38">
        <f>'Stavební rozpočet'!G197</f>
        <v>5</v>
      </c>
      <c r="H169" s="38">
        <f>'Stavební rozpočet'!H197</f>
        <v>0</v>
      </c>
      <c r="I169" s="38">
        <f t="shared" si="30"/>
        <v>0</v>
      </c>
      <c r="J169" s="38">
        <f t="shared" si="31"/>
        <v>0</v>
      </c>
      <c r="K169" s="38">
        <f t="shared" si="32"/>
        <v>0</v>
      </c>
      <c r="L169" s="38">
        <f>'Stavební rozpočet'!N197</f>
        <v>2.0000000000000002E-5</v>
      </c>
      <c r="M169" s="62">
        <f t="shared" si="33"/>
        <v>1E-4</v>
      </c>
      <c r="HV169" s="3" t="s">
        <v>468</v>
      </c>
      <c r="HW169" s="3" t="s">
        <v>616</v>
      </c>
      <c r="IR169" s="63">
        <f>H169*0.026015936</f>
        <v>0</v>
      </c>
      <c r="IS169" s="63">
        <f>H169*(1-0.026015936)</f>
        <v>0</v>
      </c>
    </row>
    <row r="170" spans="1:253" x14ac:dyDescent="0.25">
      <c r="A170" s="61">
        <v>113</v>
      </c>
      <c r="B170" s="3" t="s">
        <v>51</v>
      </c>
      <c r="C170" s="3" t="s">
        <v>489</v>
      </c>
      <c r="D170" s="5" t="s">
        <v>814</v>
      </c>
      <c r="E170" s="3" t="s">
        <v>66</v>
      </c>
      <c r="F170" s="3" t="s">
        <v>715</v>
      </c>
      <c r="G170" s="38">
        <f>'Stavební rozpočet'!G199</f>
        <v>2</v>
      </c>
      <c r="H170" s="38">
        <f>'Stavební rozpočet'!H199</f>
        <v>0</v>
      </c>
      <c r="I170" s="38">
        <f t="shared" si="30"/>
        <v>0</v>
      </c>
      <c r="J170" s="38">
        <f t="shared" si="31"/>
        <v>0</v>
      </c>
      <c r="K170" s="38">
        <f t="shared" si="32"/>
        <v>0</v>
      </c>
      <c r="L170" s="38">
        <f>'Stavební rozpočet'!N199</f>
        <v>1.6E-2</v>
      </c>
      <c r="M170" s="62">
        <f t="shared" si="33"/>
        <v>3.2000000000000001E-2</v>
      </c>
      <c r="HV170" s="3" t="s">
        <v>468</v>
      </c>
      <c r="HW170" s="3" t="s">
        <v>647</v>
      </c>
      <c r="IR170" s="63">
        <f>H170*1</f>
        <v>0</v>
      </c>
      <c r="IS170" s="63">
        <f>H170*(1-1)</f>
        <v>0</v>
      </c>
    </row>
    <row r="171" spans="1:253" x14ac:dyDescent="0.25">
      <c r="A171" s="61">
        <v>114</v>
      </c>
      <c r="B171" s="3" t="s">
        <v>51</v>
      </c>
      <c r="C171" s="3" t="s">
        <v>493</v>
      </c>
      <c r="D171" s="5" t="s">
        <v>494</v>
      </c>
      <c r="E171" s="3" t="s">
        <v>66</v>
      </c>
      <c r="F171" s="3" t="s">
        <v>717</v>
      </c>
      <c r="G171" s="38">
        <f>'Stavební rozpočet'!G201</f>
        <v>2</v>
      </c>
      <c r="H171" s="38">
        <f>'Stavební rozpočet'!H201</f>
        <v>0</v>
      </c>
      <c r="I171" s="38">
        <f t="shared" si="30"/>
        <v>0</v>
      </c>
      <c r="J171" s="38">
        <f t="shared" si="31"/>
        <v>0</v>
      </c>
      <c r="K171" s="38">
        <f t="shared" si="32"/>
        <v>0</v>
      </c>
      <c r="L171" s="38">
        <f>'Stavební rozpočet'!N201</f>
        <v>3.5000000000000003E-2</v>
      </c>
      <c r="M171" s="62">
        <f t="shared" si="33"/>
        <v>7.0000000000000007E-2</v>
      </c>
      <c r="HV171" s="3" t="s">
        <v>468</v>
      </c>
      <c r="HW171" s="3" t="s">
        <v>647</v>
      </c>
      <c r="IR171" s="63">
        <f>H171*1</f>
        <v>0</v>
      </c>
      <c r="IS171" s="63">
        <f>H171*(1-1)</f>
        <v>0</v>
      </c>
    </row>
    <row r="172" spans="1:253" x14ac:dyDescent="0.25">
      <c r="A172" s="61">
        <v>115</v>
      </c>
      <c r="B172" s="3" t="s">
        <v>51</v>
      </c>
      <c r="C172" s="3" t="s">
        <v>497</v>
      </c>
      <c r="D172" s="5" t="s">
        <v>498</v>
      </c>
      <c r="E172" s="3" t="s">
        <v>66</v>
      </c>
      <c r="F172" s="3" t="s">
        <v>718</v>
      </c>
      <c r="G172" s="38">
        <f>'Stavební rozpočet'!G203</f>
        <v>1</v>
      </c>
      <c r="H172" s="38">
        <f>'Stavební rozpočet'!H203</f>
        <v>0</v>
      </c>
      <c r="I172" s="38">
        <f t="shared" si="30"/>
        <v>0</v>
      </c>
      <c r="J172" s="38">
        <f t="shared" si="31"/>
        <v>0</v>
      </c>
      <c r="K172" s="38">
        <f t="shared" si="32"/>
        <v>0</v>
      </c>
      <c r="L172" s="38">
        <f>'Stavební rozpočet'!N203</f>
        <v>3.5999999999999997E-2</v>
      </c>
      <c r="M172" s="62">
        <f t="shared" si="33"/>
        <v>3.5999999999999997E-2</v>
      </c>
      <c r="HV172" s="3" t="s">
        <v>468</v>
      </c>
      <c r="HW172" s="3" t="s">
        <v>647</v>
      </c>
      <c r="IR172" s="63">
        <f>H172*1</f>
        <v>0</v>
      </c>
      <c r="IS172" s="63">
        <f>H172*(1-1)</f>
        <v>0</v>
      </c>
    </row>
    <row r="173" spans="1:253" x14ac:dyDescent="0.25">
      <c r="A173" s="61">
        <v>116</v>
      </c>
      <c r="B173" s="3" t="s">
        <v>51</v>
      </c>
      <c r="C173" s="3" t="s">
        <v>501</v>
      </c>
      <c r="D173" s="5" t="s">
        <v>502</v>
      </c>
      <c r="E173" s="3" t="s">
        <v>66</v>
      </c>
      <c r="F173" s="3" t="s">
        <v>719</v>
      </c>
      <c r="G173" s="38">
        <f>'Stavební rozpočet'!G205</f>
        <v>4</v>
      </c>
      <c r="H173" s="38">
        <f>'Stavební rozpočet'!H205</f>
        <v>0</v>
      </c>
      <c r="I173" s="38">
        <f t="shared" si="30"/>
        <v>0</v>
      </c>
      <c r="J173" s="38">
        <f t="shared" si="31"/>
        <v>0</v>
      </c>
      <c r="K173" s="38">
        <f t="shared" si="32"/>
        <v>0</v>
      </c>
      <c r="L173" s="38">
        <f>'Stavební rozpočet'!N205</f>
        <v>0</v>
      </c>
      <c r="M173" s="62">
        <f t="shared" si="33"/>
        <v>0</v>
      </c>
      <c r="HV173" s="3" t="s">
        <v>468</v>
      </c>
      <c r="HW173" s="3" t="s">
        <v>616</v>
      </c>
      <c r="IR173" s="63">
        <f>H173*0</f>
        <v>0</v>
      </c>
      <c r="IS173" s="63">
        <f>H173*(1-0)</f>
        <v>0</v>
      </c>
    </row>
    <row r="174" spans="1:253" x14ac:dyDescent="0.25">
      <c r="A174" s="61">
        <v>117</v>
      </c>
      <c r="B174" s="3" t="s">
        <v>51</v>
      </c>
      <c r="C174" s="3" t="s">
        <v>504</v>
      </c>
      <c r="D174" s="5" t="s">
        <v>505</v>
      </c>
      <c r="E174" s="3" t="s">
        <v>66</v>
      </c>
      <c r="F174" s="3" t="s">
        <v>720</v>
      </c>
      <c r="G174" s="38">
        <f>'Stavební rozpočet'!G206</f>
        <v>5</v>
      </c>
      <c r="H174" s="38">
        <f>'Stavební rozpočet'!H206</f>
        <v>0</v>
      </c>
      <c r="I174" s="38">
        <f t="shared" si="30"/>
        <v>0</v>
      </c>
      <c r="J174" s="38">
        <f t="shared" si="31"/>
        <v>0</v>
      </c>
      <c r="K174" s="38">
        <f t="shared" si="32"/>
        <v>0</v>
      </c>
      <c r="L174" s="38">
        <f>'Stavební rozpočet'!N206</f>
        <v>0.02</v>
      </c>
      <c r="M174" s="62">
        <f t="shared" si="33"/>
        <v>0.1</v>
      </c>
      <c r="HV174" s="3" t="s">
        <v>468</v>
      </c>
      <c r="HW174" s="3" t="s">
        <v>647</v>
      </c>
      <c r="IR174" s="63">
        <f>H174*1</f>
        <v>0</v>
      </c>
      <c r="IS174" s="63">
        <f>H174*(1-1)</f>
        <v>0</v>
      </c>
    </row>
    <row r="175" spans="1:253" x14ac:dyDescent="0.25">
      <c r="A175" s="61">
        <v>118</v>
      </c>
      <c r="B175" s="3" t="s">
        <v>51</v>
      </c>
      <c r="C175" s="3" t="s">
        <v>508</v>
      </c>
      <c r="D175" s="5" t="s">
        <v>509</v>
      </c>
      <c r="E175" s="3" t="s">
        <v>66</v>
      </c>
      <c r="F175" s="3" t="s">
        <v>721</v>
      </c>
      <c r="G175" s="38">
        <f>'Stavební rozpočet'!G208</f>
        <v>2</v>
      </c>
      <c r="H175" s="38">
        <f>'Stavební rozpočet'!H208</f>
        <v>0</v>
      </c>
      <c r="I175" s="38">
        <f t="shared" si="30"/>
        <v>0</v>
      </c>
      <c r="J175" s="38">
        <f t="shared" si="31"/>
        <v>0</v>
      </c>
      <c r="K175" s="38">
        <f t="shared" si="32"/>
        <v>0</v>
      </c>
      <c r="L175" s="38">
        <f>'Stavební rozpočet'!N208</f>
        <v>1.6E-2</v>
      </c>
      <c r="M175" s="62">
        <f t="shared" si="33"/>
        <v>3.2000000000000001E-2</v>
      </c>
      <c r="HV175" s="3" t="s">
        <v>468</v>
      </c>
      <c r="HW175" s="3" t="s">
        <v>647</v>
      </c>
      <c r="IR175" s="63">
        <f>H175*1</f>
        <v>0</v>
      </c>
      <c r="IS175" s="63">
        <f>H175*(1-1)</f>
        <v>0</v>
      </c>
    </row>
    <row r="176" spans="1:253" x14ac:dyDescent="0.25">
      <c r="A176" s="61">
        <v>119</v>
      </c>
      <c r="B176" s="3" t="s">
        <v>51</v>
      </c>
      <c r="C176" s="3" t="s">
        <v>512</v>
      </c>
      <c r="D176" s="5" t="s">
        <v>513</v>
      </c>
      <c r="E176" s="3" t="s">
        <v>66</v>
      </c>
      <c r="F176" s="3" t="s">
        <v>722</v>
      </c>
      <c r="G176" s="38">
        <f>'Stavební rozpočet'!G210</f>
        <v>1</v>
      </c>
      <c r="H176" s="38">
        <f>'Stavební rozpočet'!H210</f>
        <v>0</v>
      </c>
      <c r="I176" s="38">
        <f t="shared" si="30"/>
        <v>0</v>
      </c>
      <c r="J176" s="38">
        <f t="shared" si="31"/>
        <v>0</v>
      </c>
      <c r="K176" s="38">
        <f t="shared" si="32"/>
        <v>0</v>
      </c>
      <c r="L176" s="38">
        <f>'Stavební rozpočet'!N210</f>
        <v>0</v>
      </c>
      <c r="M176" s="62">
        <f t="shared" si="33"/>
        <v>0</v>
      </c>
      <c r="HV176" s="3" t="s">
        <v>468</v>
      </c>
      <c r="HW176" s="3" t="s">
        <v>616</v>
      </c>
      <c r="IR176" s="63">
        <f>H176*0</f>
        <v>0</v>
      </c>
      <c r="IS176" s="63">
        <f>H176*(1-0)</f>
        <v>0</v>
      </c>
    </row>
    <row r="177" spans="1:253" x14ac:dyDescent="0.25">
      <c r="A177" s="61">
        <v>120</v>
      </c>
      <c r="B177" s="3" t="s">
        <v>51</v>
      </c>
      <c r="C177" s="3" t="s">
        <v>516</v>
      </c>
      <c r="D177" s="5" t="s">
        <v>517</v>
      </c>
      <c r="E177" s="3" t="s">
        <v>66</v>
      </c>
      <c r="F177" s="3" t="s">
        <v>722</v>
      </c>
      <c r="G177" s="38">
        <f>'Stavební rozpočet'!G212</f>
        <v>1</v>
      </c>
      <c r="H177" s="38">
        <f>'Stavební rozpočet'!H212</f>
        <v>0</v>
      </c>
      <c r="I177" s="38">
        <f t="shared" si="30"/>
        <v>0</v>
      </c>
      <c r="J177" s="38">
        <f t="shared" si="31"/>
        <v>0</v>
      </c>
      <c r="K177" s="38">
        <f t="shared" si="32"/>
        <v>0</v>
      </c>
      <c r="L177" s="38">
        <f>'Stavební rozpočet'!N212</f>
        <v>4.3999999999999997E-2</v>
      </c>
      <c r="M177" s="62">
        <f t="shared" si="33"/>
        <v>4.3999999999999997E-2</v>
      </c>
      <c r="HV177" s="3" t="s">
        <v>468</v>
      </c>
      <c r="HW177" s="3" t="s">
        <v>647</v>
      </c>
      <c r="IR177" s="63">
        <f>H177*1</f>
        <v>0</v>
      </c>
      <c r="IS177" s="63">
        <f>H177*(1-1)</f>
        <v>0</v>
      </c>
    </row>
    <row r="178" spans="1:253" x14ac:dyDescent="0.25">
      <c r="A178" s="61">
        <v>121</v>
      </c>
      <c r="B178" s="3" t="s">
        <v>51</v>
      </c>
      <c r="C178" s="3" t="s">
        <v>520</v>
      </c>
      <c r="D178" s="5" t="s">
        <v>521</v>
      </c>
      <c r="E178" s="3" t="s">
        <v>66</v>
      </c>
      <c r="F178" s="3" t="s">
        <v>723</v>
      </c>
      <c r="G178" s="38">
        <f>'Stavební rozpočet'!G214</f>
        <v>5</v>
      </c>
      <c r="H178" s="38">
        <f>'Stavební rozpočet'!H214</f>
        <v>0</v>
      </c>
      <c r="I178" s="38">
        <f t="shared" si="30"/>
        <v>0</v>
      </c>
      <c r="J178" s="38">
        <f t="shared" si="31"/>
        <v>0</v>
      </c>
      <c r="K178" s="38">
        <f t="shared" si="32"/>
        <v>0</v>
      </c>
      <c r="L178" s="38">
        <f>'Stavební rozpočet'!N214</f>
        <v>1.0000000000000001E-5</v>
      </c>
      <c r="M178" s="62">
        <f t="shared" si="33"/>
        <v>5.0000000000000002E-5</v>
      </c>
      <c r="HV178" s="3" t="s">
        <v>468</v>
      </c>
      <c r="HW178" s="3" t="s">
        <v>616</v>
      </c>
      <c r="IR178" s="63">
        <f>H178*0.030858703</f>
        <v>0</v>
      </c>
      <c r="IS178" s="63">
        <f>H178*(1-0.030858703)</f>
        <v>0</v>
      </c>
    </row>
    <row r="179" spans="1:253" x14ac:dyDescent="0.25">
      <c r="A179" s="61">
        <v>122</v>
      </c>
      <c r="B179" s="3" t="s">
        <v>51</v>
      </c>
      <c r="C179" s="3" t="s">
        <v>523</v>
      </c>
      <c r="D179" s="5" t="s">
        <v>524</v>
      </c>
      <c r="E179" s="3" t="s">
        <v>66</v>
      </c>
      <c r="F179" s="3" t="s">
        <v>724</v>
      </c>
      <c r="G179" s="38">
        <f>'Stavební rozpočet'!G215</f>
        <v>2</v>
      </c>
      <c r="H179" s="38">
        <f>'Stavební rozpočet'!H215</f>
        <v>0</v>
      </c>
      <c r="I179" s="38">
        <f t="shared" si="30"/>
        <v>0</v>
      </c>
      <c r="J179" s="38">
        <f t="shared" si="31"/>
        <v>0</v>
      </c>
      <c r="K179" s="38">
        <f t="shared" si="32"/>
        <v>0</v>
      </c>
      <c r="L179" s="38">
        <f>'Stavební rozpočet'!N215</f>
        <v>8.9999999999999998E-4</v>
      </c>
      <c r="M179" s="62">
        <f t="shared" si="33"/>
        <v>1.8E-3</v>
      </c>
      <c r="HV179" s="3" t="s">
        <v>468</v>
      </c>
      <c r="HW179" s="3" t="s">
        <v>647</v>
      </c>
      <c r="IR179" s="63">
        <f>H179*1</f>
        <v>0</v>
      </c>
      <c r="IS179" s="63">
        <f>H179*(1-1)</f>
        <v>0</v>
      </c>
    </row>
    <row r="180" spans="1:253" x14ac:dyDescent="0.25">
      <c r="A180" s="61">
        <v>123</v>
      </c>
      <c r="B180" s="3" t="s">
        <v>51</v>
      </c>
      <c r="C180" s="3" t="s">
        <v>527</v>
      </c>
      <c r="D180" s="5" t="s">
        <v>528</v>
      </c>
      <c r="E180" s="3" t="s">
        <v>66</v>
      </c>
      <c r="F180" s="3" t="s">
        <v>725</v>
      </c>
      <c r="G180" s="38">
        <f>'Stavební rozpočet'!G216</f>
        <v>3</v>
      </c>
      <c r="H180" s="38">
        <f>'Stavební rozpočet'!H216</f>
        <v>0</v>
      </c>
      <c r="I180" s="38">
        <f t="shared" si="30"/>
        <v>0</v>
      </c>
      <c r="J180" s="38">
        <f t="shared" si="31"/>
        <v>0</v>
      </c>
      <c r="K180" s="38">
        <f t="shared" si="32"/>
        <v>0</v>
      </c>
      <c r="L180" s="38">
        <f>'Stavební rozpočet'!N216</f>
        <v>1.8E-3</v>
      </c>
      <c r="M180" s="62">
        <f t="shared" si="33"/>
        <v>5.4000000000000003E-3</v>
      </c>
      <c r="HV180" s="3" t="s">
        <v>468</v>
      </c>
      <c r="HW180" s="3" t="s">
        <v>647</v>
      </c>
      <c r="IR180" s="63">
        <f>H180*1</f>
        <v>0</v>
      </c>
      <c r="IS180" s="63">
        <f>H180*(1-1)</f>
        <v>0</v>
      </c>
    </row>
    <row r="181" spans="1:253" x14ac:dyDescent="0.25">
      <c r="A181" s="61">
        <v>124</v>
      </c>
      <c r="B181" s="3" t="s">
        <v>51</v>
      </c>
      <c r="C181" s="3" t="s">
        <v>530</v>
      </c>
      <c r="D181" s="5" t="s">
        <v>531</v>
      </c>
      <c r="E181" s="3" t="s">
        <v>134</v>
      </c>
      <c r="F181" s="3" t="s">
        <v>50</v>
      </c>
      <c r="G181" s="38">
        <f>'Stavební rozpočet'!G217</f>
        <v>0.36060999999999999</v>
      </c>
      <c r="H181" s="38">
        <f>'Stavební rozpočet'!H217</f>
        <v>0</v>
      </c>
      <c r="I181" s="38">
        <f t="shared" si="30"/>
        <v>0</v>
      </c>
      <c r="J181" s="38">
        <f t="shared" si="31"/>
        <v>0</v>
      </c>
      <c r="K181" s="38">
        <f t="shared" si="32"/>
        <v>0</v>
      </c>
      <c r="L181" s="38">
        <f>'Stavební rozpočet'!N217</f>
        <v>0</v>
      </c>
      <c r="M181" s="62">
        <f t="shared" si="33"/>
        <v>0</v>
      </c>
      <c r="HV181" s="3" t="s">
        <v>468</v>
      </c>
      <c r="HW181" s="3" t="s">
        <v>616</v>
      </c>
      <c r="IR181" s="63">
        <f>H181*0</f>
        <v>0</v>
      </c>
      <c r="IS181" s="63">
        <f>H181*(1-0)</f>
        <v>0</v>
      </c>
    </row>
    <row r="182" spans="1:253" x14ac:dyDescent="0.25">
      <c r="A182" s="59" t="s">
        <v>4</v>
      </c>
      <c r="B182" s="34" t="s">
        <v>51</v>
      </c>
      <c r="C182" s="34" t="s">
        <v>532</v>
      </c>
      <c r="D182" s="35" t="s">
        <v>533</v>
      </c>
      <c r="E182" s="34" t="s">
        <v>4</v>
      </c>
      <c r="F182" s="34" t="s">
        <v>4</v>
      </c>
      <c r="G182" s="13" t="s">
        <v>4</v>
      </c>
      <c r="H182" s="13" t="s">
        <v>4</v>
      </c>
      <c r="I182" s="1">
        <f>SUM(I183:I188)</f>
        <v>0</v>
      </c>
      <c r="J182" s="1">
        <f>SUM(J183:J188)</f>
        <v>0</v>
      </c>
      <c r="K182" s="1">
        <f>SUM(K183:K188)</f>
        <v>0</v>
      </c>
      <c r="L182" s="13" t="s">
        <v>4</v>
      </c>
      <c r="M182" s="60">
        <f>SUM(M183:M188)</f>
        <v>0.25465369599999998</v>
      </c>
    </row>
    <row r="183" spans="1:253" x14ac:dyDescent="0.25">
      <c r="A183" s="61">
        <v>125</v>
      </c>
      <c r="B183" s="3" t="s">
        <v>51</v>
      </c>
      <c r="C183" s="3" t="s">
        <v>535</v>
      </c>
      <c r="D183" s="5" t="s">
        <v>536</v>
      </c>
      <c r="E183" s="3" t="s">
        <v>58</v>
      </c>
      <c r="F183" s="3" t="s">
        <v>668</v>
      </c>
      <c r="G183" s="38">
        <f>'Stavební rozpočet'!G219</f>
        <v>11.4825</v>
      </c>
      <c r="H183" s="38">
        <f>'Stavební rozpočet'!H219</f>
        <v>0</v>
      </c>
      <c r="I183" s="38">
        <f>ROUND(IR183*G183,2)</f>
        <v>0</v>
      </c>
      <c r="J183" s="38">
        <f>ROUND(IS183*G183,2)</f>
        <v>0</v>
      </c>
      <c r="K183" s="38">
        <f>ROUND(IR183*G183+IS183*G183,2)</f>
        <v>0</v>
      </c>
      <c r="L183" s="38">
        <f>'Stavební rozpočet'!N219</f>
        <v>0</v>
      </c>
      <c r="M183" s="62">
        <f>L183*G183</f>
        <v>0</v>
      </c>
      <c r="HV183" s="3" t="s">
        <v>532</v>
      </c>
      <c r="HW183" s="3" t="s">
        <v>616</v>
      </c>
      <c r="IR183" s="63">
        <f>H183*0</f>
        <v>0</v>
      </c>
      <c r="IS183" s="63">
        <f>H183*(1-0)</f>
        <v>0</v>
      </c>
    </row>
    <row r="184" spans="1:253" x14ac:dyDescent="0.25">
      <c r="A184" s="109" t="s">
        <v>50</v>
      </c>
      <c r="B184" s="110"/>
      <c r="C184" s="110"/>
      <c r="D184" s="110"/>
      <c r="E184" s="110"/>
      <c r="F184" s="3" t="s">
        <v>669</v>
      </c>
      <c r="G184" s="38">
        <v>2.4300000000000002</v>
      </c>
      <c r="H184" s="38">
        <f>'Stavební rozpočet'!H219</f>
        <v>0</v>
      </c>
      <c r="M184" s="64"/>
      <c r="HV184" s="3" t="s">
        <v>532</v>
      </c>
      <c r="HW184" s="3" t="s">
        <v>616</v>
      </c>
      <c r="IR184" s="63">
        <f>H184*0</f>
        <v>0</v>
      </c>
      <c r="IS184" s="63">
        <f>H184*(1-0)</f>
        <v>0</v>
      </c>
    </row>
    <row r="185" spans="1:253" ht="25.5" x14ac:dyDescent="0.25">
      <c r="A185" s="61">
        <v>126</v>
      </c>
      <c r="B185" s="3" t="s">
        <v>51</v>
      </c>
      <c r="C185" s="3" t="s">
        <v>541</v>
      </c>
      <c r="D185" s="5" t="s">
        <v>542</v>
      </c>
      <c r="E185" s="3" t="s">
        <v>58</v>
      </c>
      <c r="F185" s="3" t="s">
        <v>726</v>
      </c>
      <c r="G185" s="38">
        <f>'Stavební rozpočet'!G221</f>
        <v>13.204879999999999</v>
      </c>
      <c r="H185" s="38">
        <f>'Stavební rozpočet'!H221</f>
        <v>0</v>
      </c>
      <c r="I185" s="38">
        <f>ROUND(IR185*G185,2)</f>
        <v>0</v>
      </c>
      <c r="J185" s="38">
        <f>ROUND(IS185*G185,2)</f>
        <v>0</v>
      </c>
      <c r="K185" s="38">
        <f>ROUND(IR185*G185+IS185*G185,2)</f>
        <v>0</v>
      </c>
      <c r="L185" s="38">
        <f>'Stavební rozpočet'!N221</f>
        <v>1.9199999999999998E-2</v>
      </c>
      <c r="M185" s="62">
        <f>L185*G185</f>
        <v>0.25353369599999998</v>
      </c>
      <c r="HV185" s="3" t="s">
        <v>532</v>
      </c>
      <c r="HW185" s="3" t="s">
        <v>647</v>
      </c>
      <c r="IR185" s="63">
        <f>H185*1</f>
        <v>0</v>
      </c>
      <c r="IS185" s="63">
        <f>H185*(1-1)</f>
        <v>0</v>
      </c>
    </row>
    <row r="186" spans="1:253" x14ac:dyDescent="0.25">
      <c r="A186" s="109" t="s">
        <v>50</v>
      </c>
      <c r="B186" s="110"/>
      <c r="C186" s="110"/>
      <c r="D186" s="110"/>
      <c r="E186" s="110"/>
      <c r="F186" s="3" t="s">
        <v>727</v>
      </c>
      <c r="G186" s="38">
        <v>2.7945000000000002</v>
      </c>
      <c r="H186" s="38">
        <f>'Stavební rozpočet'!H221</f>
        <v>0</v>
      </c>
      <c r="M186" s="64"/>
      <c r="HV186" s="3" t="s">
        <v>532</v>
      </c>
      <c r="HW186" s="3" t="s">
        <v>647</v>
      </c>
      <c r="IR186" s="63">
        <f>H186*1</f>
        <v>0</v>
      </c>
      <c r="IS186" s="63">
        <f>H186*(1-1)</f>
        <v>0</v>
      </c>
    </row>
    <row r="187" spans="1:253" x14ac:dyDescent="0.25">
      <c r="A187" s="61">
        <v>127</v>
      </c>
      <c r="B187" s="3" t="s">
        <v>51</v>
      </c>
      <c r="C187" s="3" t="s">
        <v>544</v>
      </c>
      <c r="D187" s="5" t="s">
        <v>545</v>
      </c>
      <c r="E187" s="3" t="s">
        <v>100</v>
      </c>
      <c r="F187" s="3" t="s">
        <v>728</v>
      </c>
      <c r="G187" s="38">
        <f>'Stavební rozpočet'!G222</f>
        <v>28</v>
      </c>
      <c r="H187" s="38">
        <f>'Stavební rozpočet'!H222</f>
        <v>0</v>
      </c>
      <c r="I187" s="38">
        <f>ROUND(IR187*G187,2)</f>
        <v>0</v>
      </c>
      <c r="J187" s="38">
        <f>ROUND(IS187*G187,2)</f>
        <v>0</v>
      </c>
      <c r="K187" s="38">
        <f>ROUND(IR187*G187+IS187*G187,2)</f>
        <v>0</v>
      </c>
      <c r="L187" s="38">
        <f>'Stavební rozpočet'!N222</f>
        <v>4.0000000000000003E-5</v>
      </c>
      <c r="M187" s="62">
        <f>L187*G187</f>
        <v>1.1200000000000001E-3</v>
      </c>
      <c r="HV187" s="3" t="s">
        <v>532</v>
      </c>
      <c r="HW187" s="3" t="s">
        <v>616</v>
      </c>
      <c r="IR187" s="63">
        <f>H187*0.470182121</f>
        <v>0</v>
      </c>
      <c r="IS187" s="63">
        <f>H187*(1-0.470182121)</f>
        <v>0</v>
      </c>
    </row>
    <row r="188" spans="1:253" x14ac:dyDescent="0.25">
      <c r="A188" s="61">
        <v>128</v>
      </c>
      <c r="B188" s="3" t="s">
        <v>51</v>
      </c>
      <c r="C188" s="3" t="s">
        <v>547</v>
      </c>
      <c r="D188" s="5" t="s">
        <v>548</v>
      </c>
      <c r="E188" s="3" t="s">
        <v>134</v>
      </c>
      <c r="F188" s="3" t="s">
        <v>50</v>
      </c>
      <c r="G188" s="38">
        <f>'Stavební rozpočet'!G223</f>
        <v>0.25464999999999999</v>
      </c>
      <c r="H188" s="38">
        <f>'Stavební rozpočet'!H223</f>
        <v>0</v>
      </c>
      <c r="I188" s="38">
        <f>ROUND(IR188*G188,2)</f>
        <v>0</v>
      </c>
      <c r="J188" s="38">
        <f>ROUND(IS188*G188,2)</f>
        <v>0</v>
      </c>
      <c r="K188" s="38">
        <f>ROUND(IR188*G188+IS188*G188,2)</f>
        <v>0</v>
      </c>
      <c r="L188" s="38">
        <f>'Stavební rozpočet'!N223</f>
        <v>0</v>
      </c>
      <c r="M188" s="62">
        <f>L188*G188</f>
        <v>0</v>
      </c>
      <c r="HV188" s="3" t="s">
        <v>532</v>
      </c>
      <c r="HW188" s="3" t="s">
        <v>616</v>
      </c>
      <c r="IR188" s="63">
        <f>H188*0</f>
        <v>0</v>
      </c>
      <c r="IS188" s="63">
        <f>H188*(1-0)</f>
        <v>0</v>
      </c>
    </row>
    <row r="189" spans="1:253" x14ac:dyDescent="0.25">
      <c r="A189" s="59" t="s">
        <v>4</v>
      </c>
      <c r="B189" s="34" t="s">
        <v>51</v>
      </c>
      <c r="C189" s="34" t="s">
        <v>549</v>
      </c>
      <c r="D189" s="35" t="s">
        <v>550</v>
      </c>
      <c r="E189" s="34" t="s">
        <v>4</v>
      </c>
      <c r="F189" s="34" t="s">
        <v>4</v>
      </c>
      <c r="G189" s="13" t="s">
        <v>4</v>
      </c>
      <c r="H189" s="13" t="s">
        <v>4</v>
      </c>
      <c r="I189" s="1">
        <f>SUM(I190:I190)</f>
        <v>0</v>
      </c>
      <c r="J189" s="1">
        <f>SUM(J190:J190)</f>
        <v>0</v>
      </c>
      <c r="K189" s="1">
        <f>SUM(K190:K190)</f>
        <v>0</v>
      </c>
      <c r="L189" s="13" t="s">
        <v>4</v>
      </c>
      <c r="M189" s="60">
        <f>SUM(M190:M190)</f>
        <v>6.8689280000000005E-2</v>
      </c>
    </row>
    <row r="190" spans="1:253" x14ac:dyDescent="0.25">
      <c r="A190" s="61">
        <v>129</v>
      </c>
      <c r="B190" s="3" t="s">
        <v>51</v>
      </c>
      <c r="C190" s="3" t="s">
        <v>552</v>
      </c>
      <c r="D190" s="5" t="s">
        <v>553</v>
      </c>
      <c r="E190" s="3" t="s">
        <v>58</v>
      </c>
      <c r="F190" s="3" t="s">
        <v>729</v>
      </c>
      <c r="G190" s="38">
        <f>'Stavební rozpočet'!G225</f>
        <v>39.027999999999999</v>
      </c>
      <c r="H190" s="38">
        <f>'Stavební rozpočet'!H225</f>
        <v>0</v>
      </c>
      <c r="I190" s="38">
        <f>ROUND(IR190*G190,2)</f>
        <v>0</v>
      </c>
      <c r="J190" s="38">
        <f>ROUND(IS190*G190,2)</f>
        <v>0</v>
      </c>
      <c r="K190" s="38">
        <f>ROUND(IR190*G190+IS190*G190,2)</f>
        <v>0</v>
      </c>
      <c r="L190" s="38">
        <f>'Stavební rozpočet'!N225</f>
        <v>1.7600000000000001E-3</v>
      </c>
      <c r="M190" s="62">
        <f>L190*G190</f>
        <v>6.8689280000000005E-2</v>
      </c>
      <c r="HV190" s="3" t="s">
        <v>549</v>
      </c>
      <c r="HW190" s="3" t="s">
        <v>616</v>
      </c>
      <c r="IR190" s="63">
        <f>H190*0.755805501</f>
        <v>0</v>
      </c>
      <c r="IS190" s="63">
        <f>H190*(1-0.755805501)</f>
        <v>0</v>
      </c>
    </row>
    <row r="191" spans="1:253" ht="13.5" customHeight="1" x14ac:dyDescent="0.25">
      <c r="A191" s="42"/>
      <c r="D191" s="5" t="s">
        <v>555</v>
      </c>
      <c r="M191" s="64"/>
    </row>
    <row r="192" spans="1:253" x14ac:dyDescent="0.25">
      <c r="A192" s="59" t="s">
        <v>4</v>
      </c>
      <c r="B192" s="34" t="s">
        <v>51</v>
      </c>
      <c r="C192" s="34" t="s">
        <v>556</v>
      </c>
      <c r="D192" s="35" t="s">
        <v>557</v>
      </c>
      <c r="E192" s="34" t="s">
        <v>4</v>
      </c>
      <c r="F192" s="34" t="s">
        <v>4</v>
      </c>
      <c r="G192" s="13" t="s">
        <v>4</v>
      </c>
      <c r="H192" s="13" t="s">
        <v>4</v>
      </c>
      <c r="I192" s="1">
        <f>SUM(I193:I202)</f>
        <v>0</v>
      </c>
      <c r="J192" s="1">
        <f>SUM(J193:J202)</f>
        <v>0</v>
      </c>
      <c r="K192" s="1">
        <f>SUM(K193:K202)</f>
        <v>0</v>
      </c>
      <c r="L192" s="13" t="s">
        <v>4</v>
      </c>
      <c r="M192" s="60">
        <f>SUM(M193:M202)</f>
        <v>1.6832532</v>
      </c>
    </row>
    <row r="193" spans="1:253" x14ac:dyDescent="0.25">
      <c r="A193" s="61">
        <v>130</v>
      </c>
      <c r="B193" s="3" t="s">
        <v>51</v>
      </c>
      <c r="C193" s="3" t="s">
        <v>559</v>
      </c>
      <c r="D193" s="5" t="s">
        <v>560</v>
      </c>
      <c r="E193" s="3" t="s">
        <v>58</v>
      </c>
      <c r="F193" s="3" t="s">
        <v>730</v>
      </c>
      <c r="G193" s="38">
        <f>'Stavební rozpočet'!G228</f>
        <v>62.64</v>
      </c>
      <c r="H193" s="38">
        <f>'Stavební rozpočet'!H228</f>
        <v>0</v>
      </c>
      <c r="I193" s="38">
        <f>ROUND(IR193*G193,2)</f>
        <v>0</v>
      </c>
      <c r="J193" s="38">
        <f>ROUND(IS193*G193,2)</f>
        <v>0</v>
      </c>
      <c r="K193" s="38">
        <f>ROUND(IR193*G193+IS193*G193,2)</f>
        <v>0</v>
      </c>
      <c r="L193" s="38">
        <f>'Stavební rozpočet'!N228</f>
        <v>5.0299999999999997E-3</v>
      </c>
      <c r="M193" s="62">
        <f>L193*G193</f>
        <v>0.3150792</v>
      </c>
      <c r="HV193" s="3" t="s">
        <v>556</v>
      </c>
      <c r="HW193" s="3" t="s">
        <v>616</v>
      </c>
      <c r="IR193" s="63">
        <f>H193*0.167055993</f>
        <v>0</v>
      </c>
      <c r="IS193" s="63">
        <f>H193*(1-0.167055993)</f>
        <v>0</v>
      </c>
    </row>
    <row r="194" spans="1:253" x14ac:dyDescent="0.25">
      <c r="A194" s="109" t="s">
        <v>50</v>
      </c>
      <c r="B194" s="110"/>
      <c r="C194" s="110"/>
      <c r="D194" s="110"/>
      <c r="E194" s="110"/>
      <c r="F194" s="3" t="s">
        <v>731</v>
      </c>
      <c r="G194" s="38">
        <v>20.53</v>
      </c>
      <c r="H194" s="38">
        <f>'Stavební rozpočet'!H228</f>
        <v>0</v>
      </c>
      <c r="M194" s="64"/>
      <c r="HV194" s="3" t="s">
        <v>556</v>
      </c>
      <c r="HW194" s="3" t="s">
        <v>616</v>
      </c>
      <c r="IR194" s="63">
        <f>H194*0.167055993</f>
        <v>0</v>
      </c>
      <c r="IS194" s="63">
        <f>H194*(1-0.167055993)</f>
        <v>0</v>
      </c>
    </row>
    <row r="195" spans="1:253" ht="25.5" x14ac:dyDescent="0.25">
      <c r="A195" s="61">
        <v>131</v>
      </c>
      <c r="B195" s="3" t="s">
        <v>51</v>
      </c>
      <c r="C195" s="3" t="s">
        <v>565</v>
      </c>
      <c r="D195" s="5" t="s">
        <v>566</v>
      </c>
      <c r="E195" s="3" t="s">
        <v>58</v>
      </c>
      <c r="F195" s="3" t="s">
        <v>732</v>
      </c>
      <c r="G195" s="38">
        <f>'Stavební rozpočet'!G230</f>
        <v>72.036000000000001</v>
      </c>
      <c r="H195" s="38">
        <f>'Stavební rozpočet'!H230</f>
        <v>0</v>
      </c>
      <c r="I195" s="38">
        <f>ROUND(IR195*G195,2)</f>
        <v>0</v>
      </c>
      <c r="J195" s="38">
        <f>ROUND(IS195*G195,2)</f>
        <v>0</v>
      </c>
      <c r="K195" s="38">
        <f>ROUND(IR195*G195+IS195*G195,2)</f>
        <v>0</v>
      </c>
      <c r="L195" s="38">
        <f>'Stavební rozpočet'!N230</f>
        <v>1.8499999999999999E-2</v>
      </c>
      <c r="M195" s="62">
        <f>L195*G195</f>
        <v>1.3326659999999999</v>
      </c>
      <c r="HV195" s="3" t="s">
        <v>556</v>
      </c>
      <c r="HW195" s="3" t="s">
        <v>647</v>
      </c>
      <c r="IR195" s="63">
        <f>H195*1</f>
        <v>0</v>
      </c>
      <c r="IS195" s="63">
        <f>H195*(1-1)</f>
        <v>0</v>
      </c>
    </row>
    <row r="196" spans="1:253" x14ac:dyDescent="0.25">
      <c r="A196" s="109" t="s">
        <v>50</v>
      </c>
      <c r="B196" s="110"/>
      <c r="C196" s="110"/>
      <c r="D196" s="110"/>
      <c r="E196" s="110"/>
      <c r="F196" s="3" t="s">
        <v>733</v>
      </c>
      <c r="G196" s="38">
        <v>23.609500000000001</v>
      </c>
      <c r="H196" s="38">
        <f>'Stavební rozpočet'!H230</f>
        <v>0</v>
      </c>
      <c r="M196" s="64"/>
      <c r="HV196" s="3" t="s">
        <v>556</v>
      </c>
      <c r="HW196" s="3" t="s">
        <v>647</v>
      </c>
      <c r="IR196" s="63">
        <f>H196*1</f>
        <v>0</v>
      </c>
      <c r="IS196" s="63">
        <f>H196*(1-1)</f>
        <v>0</v>
      </c>
    </row>
    <row r="197" spans="1:253" x14ac:dyDescent="0.25">
      <c r="A197" s="61">
        <v>132</v>
      </c>
      <c r="B197" s="3" t="s">
        <v>51</v>
      </c>
      <c r="C197" s="3" t="s">
        <v>568</v>
      </c>
      <c r="D197" s="5" t="s">
        <v>569</v>
      </c>
      <c r="E197" s="3" t="s">
        <v>58</v>
      </c>
      <c r="F197" s="3" t="s">
        <v>731</v>
      </c>
      <c r="G197" s="38">
        <f>'Stavební rozpočet'!G231</f>
        <v>20.53</v>
      </c>
      <c r="H197" s="38">
        <f>'Stavební rozpočet'!H231</f>
        <v>0</v>
      </c>
      <c r="I197" s="38">
        <f>ROUND(IR197*G197,2)</f>
        <v>0</v>
      </c>
      <c r="J197" s="38">
        <f>ROUND(IS197*G197,2)</f>
        <v>0</v>
      </c>
      <c r="K197" s="38">
        <f>ROUND(IR197*G197+IS197*G197,2)</f>
        <v>0</v>
      </c>
      <c r="L197" s="38">
        <f>'Stavební rozpočet'!N231</f>
        <v>0</v>
      </c>
      <c r="M197" s="62">
        <f>L197*G197</f>
        <v>0</v>
      </c>
      <c r="HV197" s="3" t="s">
        <v>556</v>
      </c>
      <c r="HW197" s="3" t="s">
        <v>616</v>
      </c>
      <c r="IR197" s="63">
        <f>H197*0</f>
        <v>0</v>
      </c>
      <c r="IS197" s="63">
        <f>H197*(1-0)</f>
        <v>0</v>
      </c>
    </row>
    <row r="198" spans="1:253" x14ac:dyDescent="0.25">
      <c r="A198" s="61">
        <v>133</v>
      </c>
      <c r="B198" s="3" t="s">
        <v>51</v>
      </c>
      <c r="C198" s="3" t="s">
        <v>571</v>
      </c>
      <c r="D198" s="5" t="s">
        <v>572</v>
      </c>
      <c r="E198" s="3" t="s">
        <v>100</v>
      </c>
      <c r="F198" s="3" t="s">
        <v>734</v>
      </c>
      <c r="G198" s="38">
        <f>'Stavební rozpočet'!G232</f>
        <v>53.8</v>
      </c>
      <c r="H198" s="38">
        <f>'Stavební rozpočet'!H232</f>
        <v>0</v>
      </c>
      <c r="I198" s="38">
        <f>ROUND(IR198*G198,2)</f>
        <v>0</v>
      </c>
      <c r="J198" s="38">
        <f>ROUND(IS198*G198,2)</f>
        <v>0</v>
      </c>
      <c r="K198" s="38">
        <f>ROUND(IR198*G198+IS198*G198,2)</f>
        <v>0</v>
      </c>
      <c r="L198" s="38">
        <f>'Stavební rozpočet'!N232</f>
        <v>0</v>
      </c>
      <c r="M198" s="62">
        <f>L198*G198</f>
        <v>0</v>
      </c>
      <c r="HV198" s="3" t="s">
        <v>556</v>
      </c>
      <c r="HW198" s="3" t="s">
        <v>616</v>
      </c>
      <c r="IR198" s="63">
        <f>H198*0</f>
        <v>0</v>
      </c>
      <c r="IS198" s="63">
        <f>H198*(1-0)</f>
        <v>0</v>
      </c>
    </row>
    <row r="199" spans="1:253" ht="13.5" customHeight="1" x14ac:dyDescent="0.25">
      <c r="A199" s="42"/>
      <c r="D199" s="5" t="s">
        <v>573</v>
      </c>
      <c r="M199" s="64"/>
    </row>
    <row r="200" spans="1:253" x14ac:dyDescent="0.25">
      <c r="A200" s="61">
        <v>134</v>
      </c>
      <c r="B200" s="3" t="s">
        <v>51</v>
      </c>
      <c r="C200" s="3" t="s">
        <v>575</v>
      </c>
      <c r="D200" s="5" t="s">
        <v>576</v>
      </c>
      <c r="E200" s="3" t="s">
        <v>100</v>
      </c>
      <c r="F200" s="3" t="s">
        <v>735</v>
      </c>
      <c r="G200" s="38">
        <f>'Stavební rozpočet'!G234</f>
        <v>53.8</v>
      </c>
      <c r="H200" s="38">
        <f>'Stavební rozpočet'!H234</f>
        <v>0</v>
      </c>
      <c r="I200" s="38">
        <f>ROUND(IR200*G200,2)</f>
        <v>0</v>
      </c>
      <c r="J200" s="38">
        <f>ROUND(IS200*G200,2)</f>
        <v>0</v>
      </c>
      <c r="K200" s="38">
        <f>ROUND(IR200*G200+IS200*G200,2)</f>
        <v>0</v>
      </c>
      <c r="L200" s="38">
        <f>'Stavební rozpočet'!N234</f>
        <v>6.6E-4</v>
      </c>
      <c r="M200" s="62">
        <f>L200*G200</f>
        <v>3.5507999999999998E-2</v>
      </c>
      <c r="HV200" s="3" t="s">
        <v>556</v>
      </c>
      <c r="HW200" s="3" t="s">
        <v>616</v>
      </c>
      <c r="IR200" s="63">
        <f>H200*0.88491878</f>
        <v>0</v>
      </c>
      <c r="IS200" s="63">
        <f>H200*(1-0.88491878)</f>
        <v>0</v>
      </c>
    </row>
    <row r="201" spans="1:253" ht="13.5" customHeight="1" x14ac:dyDescent="0.25">
      <c r="A201" s="42"/>
      <c r="D201" s="5" t="s">
        <v>577</v>
      </c>
      <c r="M201" s="64"/>
    </row>
    <row r="202" spans="1:253" x14ac:dyDescent="0.25">
      <c r="A202" s="61">
        <v>135</v>
      </c>
      <c r="B202" s="3" t="s">
        <v>51</v>
      </c>
      <c r="C202" s="3" t="s">
        <v>579</v>
      </c>
      <c r="D202" s="5" t="s">
        <v>580</v>
      </c>
      <c r="E202" s="3" t="s">
        <v>134</v>
      </c>
      <c r="F202" s="3" t="s">
        <v>50</v>
      </c>
      <c r="G202" s="38">
        <f>'Stavební rozpočet'!G236</f>
        <v>1.6832499999999999</v>
      </c>
      <c r="H202" s="38">
        <f>'Stavební rozpočet'!H236</f>
        <v>0</v>
      </c>
      <c r="I202" s="38">
        <f>ROUND(IR202*G202,2)</f>
        <v>0</v>
      </c>
      <c r="J202" s="38">
        <f>ROUND(IS202*G202,2)</f>
        <v>0</v>
      </c>
      <c r="K202" s="38">
        <f>ROUND(IR202*G202+IS202*G202,2)</f>
        <v>0</v>
      </c>
      <c r="L202" s="38">
        <f>'Stavební rozpočet'!N236</f>
        <v>0</v>
      </c>
      <c r="M202" s="62">
        <f>L202*G202</f>
        <v>0</v>
      </c>
      <c r="HV202" s="3" t="s">
        <v>556</v>
      </c>
      <c r="HW202" s="3" t="s">
        <v>616</v>
      </c>
      <c r="IR202" s="63">
        <f>H202*0</f>
        <v>0</v>
      </c>
      <c r="IS202" s="63">
        <f>H202*(1-0)</f>
        <v>0</v>
      </c>
    </row>
    <row r="203" spans="1:253" x14ac:dyDescent="0.25">
      <c r="A203" s="59" t="s">
        <v>4</v>
      </c>
      <c r="B203" s="34" t="s">
        <v>51</v>
      </c>
      <c r="C203" s="34" t="s">
        <v>581</v>
      </c>
      <c r="D203" s="35" t="s">
        <v>582</v>
      </c>
      <c r="E203" s="34" t="s">
        <v>4</v>
      </c>
      <c r="F203" s="34" t="s">
        <v>4</v>
      </c>
      <c r="G203" s="13" t="s">
        <v>4</v>
      </c>
      <c r="H203" s="13" t="s">
        <v>4</v>
      </c>
      <c r="I203" s="1">
        <f>SUM(I204:I206)</f>
        <v>0</v>
      </c>
      <c r="J203" s="1">
        <f>SUM(J204:J206)</f>
        <v>0</v>
      </c>
      <c r="K203" s="1">
        <f>SUM(K204:K206)</f>
        <v>0</v>
      </c>
      <c r="L203" s="13" t="s">
        <v>4</v>
      </c>
      <c r="M203" s="60">
        <f>SUM(M204:M206)</f>
        <v>1.2032E-3</v>
      </c>
    </row>
    <row r="204" spans="1:253" x14ac:dyDescent="0.25">
      <c r="A204" s="61">
        <v>136</v>
      </c>
      <c r="B204" s="3" t="s">
        <v>51</v>
      </c>
      <c r="C204" s="3" t="s">
        <v>584</v>
      </c>
      <c r="D204" s="5" t="s">
        <v>585</v>
      </c>
      <c r="E204" s="3" t="s">
        <v>58</v>
      </c>
      <c r="F204" s="3" t="s">
        <v>736</v>
      </c>
      <c r="G204" s="38">
        <f>'Stavební rozpočet'!G238</f>
        <v>3.76</v>
      </c>
      <c r="H204" s="38">
        <f>'Stavební rozpočet'!H238</f>
        <v>0</v>
      </c>
      <c r="I204" s="38">
        <f>ROUND(IR204*G204,2)</f>
        <v>0</v>
      </c>
      <c r="J204" s="38">
        <f>ROUND(IS204*G204,2)</f>
        <v>0</v>
      </c>
      <c r="K204" s="38">
        <f>ROUND(IR204*G204+IS204*G204,2)</f>
        <v>0</v>
      </c>
      <c r="L204" s="38">
        <f>'Stavební rozpočet'!N238</f>
        <v>1.0000000000000001E-5</v>
      </c>
      <c r="M204" s="62">
        <f>L204*G204</f>
        <v>3.7599999999999999E-5</v>
      </c>
      <c r="HV204" s="3" t="s">
        <v>581</v>
      </c>
      <c r="HW204" s="3" t="s">
        <v>616</v>
      </c>
      <c r="IR204" s="63">
        <f>H204*0.054726368</f>
        <v>0</v>
      </c>
      <c r="IS204" s="63">
        <f>H204*(1-0.054726368)</f>
        <v>0</v>
      </c>
    </row>
    <row r="205" spans="1:253" x14ac:dyDescent="0.25">
      <c r="A205" s="61">
        <v>137</v>
      </c>
      <c r="B205" s="3" t="s">
        <v>51</v>
      </c>
      <c r="C205" s="3" t="s">
        <v>588</v>
      </c>
      <c r="D205" s="5" t="s">
        <v>589</v>
      </c>
      <c r="E205" s="3" t="s">
        <v>58</v>
      </c>
      <c r="F205" s="3" t="s">
        <v>737</v>
      </c>
      <c r="G205" s="38">
        <f>'Stavební rozpočet'!G239</f>
        <v>3.76</v>
      </c>
      <c r="H205" s="38">
        <f>'Stavební rozpočet'!H239</f>
        <v>0</v>
      </c>
      <c r="I205" s="38">
        <f>ROUND(IR205*G205,2)</f>
        <v>0</v>
      </c>
      <c r="J205" s="38">
        <f>ROUND(IS205*G205,2)</f>
        <v>0</v>
      </c>
      <c r="K205" s="38">
        <f>ROUND(IR205*G205+IS205*G205,2)</f>
        <v>0</v>
      </c>
      <c r="L205" s="38">
        <f>'Stavební rozpočet'!N239</f>
        <v>3.1E-4</v>
      </c>
      <c r="M205" s="62">
        <f>L205*G205</f>
        <v>1.1655999999999999E-3</v>
      </c>
      <c r="HV205" s="3" t="s">
        <v>581</v>
      </c>
      <c r="HW205" s="3" t="s">
        <v>616</v>
      </c>
      <c r="IR205" s="63">
        <f>H205*0.18033389</f>
        <v>0</v>
      </c>
      <c r="IS205" s="63">
        <f>H205*(1-0.18033389)</f>
        <v>0</v>
      </c>
    </row>
    <row r="206" spans="1:253" x14ac:dyDescent="0.25">
      <c r="A206" s="61">
        <v>138</v>
      </c>
      <c r="B206" s="3" t="s">
        <v>51</v>
      </c>
      <c r="C206" s="3" t="s">
        <v>218</v>
      </c>
      <c r="D206" s="5" t="s">
        <v>219</v>
      </c>
      <c r="E206" s="3" t="s">
        <v>134</v>
      </c>
      <c r="F206" s="3" t="s">
        <v>50</v>
      </c>
      <c r="G206" s="38">
        <f>'Stavební rozpočet'!G240</f>
        <v>1.1999999999999999E-3</v>
      </c>
      <c r="H206" s="38">
        <f>'Stavební rozpočet'!H240</f>
        <v>0</v>
      </c>
      <c r="I206" s="38">
        <f>ROUND(IR206*G206,2)</f>
        <v>0</v>
      </c>
      <c r="J206" s="38">
        <f>ROUND(IS206*G206,2)</f>
        <v>0</v>
      </c>
      <c r="K206" s="38">
        <f>ROUND(IR206*G206+IS206*G206,2)</f>
        <v>0</v>
      </c>
      <c r="L206" s="38">
        <f>'Stavební rozpočet'!N240</f>
        <v>0</v>
      </c>
      <c r="M206" s="62">
        <f>L206*G206</f>
        <v>0</v>
      </c>
      <c r="HV206" s="3" t="s">
        <v>581</v>
      </c>
      <c r="HW206" s="3" t="s">
        <v>616</v>
      </c>
      <c r="IR206" s="63">
        <f>H206*0</f>
        <v>0</v>
      </c>
      <c r="IS206" s="63">
        <f>H206*(1-0)</f>
        <v>0</v>
      </c>
    </row>
    <row r="207" spans="1:253" x14ac:dyDescent="0.25">
      <c r="A207" s="59" t="s">
        <v>4</v>
      </c>
      <c r="B207" s="34" t="s">
        <v>51</v>
      </c>
      <c r="C207" s="34" t="s">
        <v>591</v>
      </c>
      <c r="D207" s="35" t="s">
        <v>592</v>
      </c>
      <c r="E207" s="34" t="s">
        <v>4</v>
      </c>
      <c r="F207" s="34" t="s">
        <v>4</v>
      </c>
      <c r="G207" s="13" t="s">
        <v>4</v>
      </c>
      <c r="H207" s="13" t="s">
        <v>4</v>
      </c>
      <c r="I207" s="1">
        <f>SUM(I208:I214)</f>
        <v>0</v>
      </c>
      <c r="J207" s="1">
        <f>SUM(J208:J214)</f>
        <v>0</v>
      </c>
      <c r="K207" s="1">
        <f>SUM(K208:K214)</f>
        <v>0</v>
      </c>
      <c r="L207" s="13" t="s">
        <v>4</v>
      </c>
      <c r="M207" s="60">
        <f>SUM(M208:M214)</f>
        <v>0.132423452</v>
      </c>
    </row>
    <row r="208" spans="1:253" x14ac:dyDescent="0.25">
      <c r="A208" s="61">
        <v>139</v>
      </c>
      <c r="B208" s="3" t="s">
        <v>51</v>
      </c>
      <c r="C208" s="3" t="s">
        <v>594</v>
      </c>
      <c r="D208" s="5" t="s">
        <v>595</v>
      </c>
      <c r="E208" s="3" t="s">
        <v>58</v>
      </c>
      <c r="F208" s="3" t="s">
        <v>738</v>
      </c>
      <c r="G208" s="38">
        <f>'Stavební rozpočet'!G242</f>
        <v>154.6404</v>
      </c>
      <c r="H208" s="38">
        <f>'Stavební rozpočet'!H242</f>
        <v>0</v>
      </c>
      <c r="I208" s="38">
        <f>ROUND(IR208*G208,2)</f>
        <v>0</v>
      </c>
      <c r="J208" s="38">
        <f>ROUND(IS208*G208,2)</f>
        <v>0</v>
      </c>
      <c r="K208" s="38">
        <f>ROUND(IR208*G208+IS208*G208,2)</f>
        <v>0</v>
      </c>
      <c r="L208" s="38">
        <f>'Stavební rozpočet'!N242</f>
        <v>6.3000000000000003E-4</v>
      </c>
      <c r="M208" s="62">
        <f>L208*G208</f>
        <v>9.7423452000000008E-2</v>
      </c>
      <c r="HV208" s="3" t="s">
        <v>591</v>
      </c>
      <c r="HW208" s="3" t="s">
        <v>616</v>
      </c>
      <c r="IR208" s="63">
        <f>H208*0.230403587</f>
        <v>0</v>
      </c>
      <c r="IS208" s="63">
        <f>H208*(1-0.230403587)</f>
        <v>0</v>
      </c>
    </row>
    <row r="209" spans="1:253" x14ac:dyDescent="0.25">
      <c r="A209" s="109" t="s">
        <v>50</v>
      </c>
      <c r="B209" s="110"/>
      <c r="C209" s="110"/>
      <c r="D209" s="110"/>
      <c r="E209" s="110"/>
      <c r="F209" s="3" t="s">
        <v>739</v>
      </c>
      <c r="G209" s="38">
        <v>62.4574</v>
      </c>
      <c r="H209" s="38">
        <f>'Stavební rozpočet'!H242</f>
        <v>0</v>
      </c>
      <c r="M209" s="64"/>
      <c r="HV209" s="3" t="s">
        <v>591</v>
      </c>
      <c r="HW209" s="3" t="s">
        <v>616</v>
      </c>
      <c r="IR209" s="63">
        <f>H209*0.230403587</f>
        <v>0</v>
      </c>
      <c r="IS209" s="63">
        <f>H209*(1-0.230403587)</f>
        <v>0</v>
      </c>
    </row>
    <row r="210" spans="1:253" x14ac:dyDescent="0.25">
      <c r="A210" s="109" t="s">
        <v>50</v>
      </c>
      <c r="B210" s="110"/>
      <c r="C210" s="110"/>
      <c r="D210" s="110"/>
      <c r="E210" s="110"/>
      <c r="F210" s="3" t="s">
        <v>740</v>
      </c>
      <c r="G210" s="38">
        <v>8.9250000000000007</v>
      </c>
      <c r="H210" s="38">
        <f>'Stavební rozpočet'!H242</f>
        <v>0</v>
      </c>
      <c r="M210" s="64"/>
      <c r="HV210" s="3" t="s">
        <v>591</v>
      </c>
      <c r="HW210" s="3" t="s">
        <v>616</v>
      </c>
      <c r="IR210" s="63">
        <f>H210*0.230403587</f>
        <v>0</v>
      </c>
      <c r="IS210" s="63">
        <f>H210*(1-0.230403587)</f>
        <v>0</v>
      </c>
    </row>
    <row r="211" spans="1:253" x14ac:dyDescent="0.25">
      <c r="A211" s="109" t="s">
        <v>50</v>
      </c>
      <c r="B211" s="110"/>
      <c r="C211" s="110"/>
      <c r="D211" s="110"/>
      <c r="E211" s="110"/>
      <c r="F211" s="3" t="s">
        <v>741</v>
      </c>
      <c r="G211" s="38">
        <v>2.4300000000000002</v>
      </c>
      <c r="H211" s="38">
        <f>'Stavební rozpočet'!H242</f>
        <v>0</v>
      </c>
      <c r="M211" s="64"/>
      <c r="HV211" s="3" t="s">
        <v>591</v>
      </c>
      <c r="HW211" s="3" t="s">
        <v>616</v>
      </c>
      <c r="IR211" s="63">
        <f>H211*0.230403587</f>
        <v>0</v>
      </c>
      <c r="IS211" s="63">
        <f>H211*(1-0.230403587)</f>
        <v>0</v>
      </c>
    </row>
    <row r="212" spans="1:253" x14ac:dyDescent="0.25">
      <c r="A212" s="61">
        <v>140</v>
      </c>
      <c r="B212" s="3" t="s">
        <v>51</v>
      </c>
      <c r="C212" s="3" t="s">
        <v>598</v>
      </c>
      <c r="D212" s="5" t="s">
        <v>599</v>
      </c>
      <c r="E212" s="3" t="s">
        <v>58</v>
      </c>
      <c r="F212" s="3" t="s">
        <v>742</v>
      </c>
      <c r="G212" s="38">
        <f>'Stavební rozpočet'!G243</f>
        <v>100</v>
      </c>
      <c r="H212" s="38">
        <f>'Stavební rozpočet'!H243</f>
        <v>0</v>
      </c>
      <c r="I212" s="38">
        <f>ROUND(IR212*G212,2)</f>
        <v>0</v>
      </c>
      <c r="J212" s="38">
        <f>ROUND(IS212*G212,2)</f>
        <v>0</v>
      </c>
      <c r="K212" s="38">
        <f>ROUND(IR212*G212+IS212*G212,2)</f>
        <v>0</v>
      </c>
      <c r="L212" s="38">
        <f>'Stavební rozpočet'!N243</f>
        <v>3.5E-4</v>
      </c>
      <c r="M212" s="62">
        <f>L212*G212</f>
        <v>3.4999999999999996E-2</v>
      </c>
      <c r="HV212" s="3" t="s">
        <v>591</v>
      </c>
      <c r="HW212" s="3" t="s">
        <v>616</v>
      </c>
      <c r="IR212" s="63">
        <f>H212*0.600480769</f>
        <v>0</v>
      </c>
      <c r="IS212" s="63">
        <f>H212*(1-0.600480769)</f>
        <v>0</v>
      </c>
    </row>
    <row r="213" spans="1:253" ht="13.5" customHeight="1" x14ac:dyDescent="0.25">
      <c r="A213" s="42"/>
      <c r="D213" s="5" t="s">
        <v>600</v>
      </c>
      <c r="M213" s="64"/>
    </row>
    <row r="214" spans="1:253" x14ac:dyDescent="0.25">
      <c r="A214" s="61">
        <v>141</v>
      </c>
      <c r="B214" s="3" t="s">
        <v>51</v>
      </c>
      <c r="C214" s="3" t="s">
        <v>218</v>
      </c>
      <c r="D214" s="5" t="s">
        <v>219</v>
      </c>
      <c r="E214" s="3" t="s">
        <v>134</v>
      </c>
      <c r="F214" s="3" t="s">
        <v>50</v>
      </c>
      <c r="G214" s="38">
        <f>'Stavební rozpočet'!G245</f>
        <v>0.13242000000000001</v>
      </c>
      <c r="H214" s="38">
        <f>'Stavební rozpočet'!H245</f>
        <v>0</v>
      </c>
      <c r="I214" s="38">
        <f>ROUND(IR214*G214,2)</f>
        <v>0</v>
      </c>
      <c r="J214" s="38">
        <f>ROUND(IS214*G214,2)</f>
        <v>0</v>
      </c>
      <c r="K214" s="38">
        <f>ROUND(IR214*G214+IS214*G214,2)</f>
        <v>0</v>
      </c>
      <c r="L214" s="38">
        <f>'Stavební rozpočet'!N245</f>
        <v>0</v>
      </c>
      <c r="M214" s="62">
        <f>L214*G214</f>
        <v>0</v>
      </c>
      <c r="HV214" s="3" t="s">
        <v>591</v>
      </c>
      <c r="HW214" s="3" t="s">
        <v>616</v>
      </c>
      <c r="IR214" s="63">
        <f>H214*0</f>
        <v>0</v>
      </c>
      <c r="IS214" s="63">
        <f>H214*(1-0)</f>
        <v>0</v>
      </c>
    </row>
    <row r="215" spans="1:253" x14ac:dyDescent="0.25">
      <c r="A215" s="59" t="s">
        <v>4</v>
      </c>
      <c r="B215" s="34" t="s">
        <v>51</v>
      </c>
      <c r="C215" s="34" t="s">
        <v>406</v>
      </c>
      <c r="D215" s="35" t="s">
        <v>602</v>
      </c>
      <c r="E215" s="34" t="s">
        <v>4</v>
      </c>
      <c r="F215" s="34" t="s">
        <v>4</v>
      </c>
      <c r="G215" s="13" t="s">
        <v>4</v>
      </c>
      <c r="H215" s="13" t="s">
        <v>4</v>
      </c>
      <c r="I215" s="1">
        <f>SUM(I216:I216)</f>
        <v>0</v>
      </c>
      <c r="J215" s="1">
        <f>SUM(J216:J216)</f>
        <v>0</v>
      </c>
      <c r="K215" s="1">
        <f>SUM(K216:K216)</f>
        <v>0</v>
      </c>
      <c r="L215" s="13" t="s">
        <v>4</v>
      </c>
      <c r="M215" s="60">
        <f>SUM(M216:M216)</f>
        <v>5.0953099999999994E-2</v>
      </c>
    </row>
    <row r="216" spans="1:253" x14ac:dyDescent="0.25">
      <c r="A216" s="65">
        <v>142</v>
      </c>
      <c r="B216" s="46" t="s">
        <v>51</v>
      </c>
      <c r="C216" s="46" t="s">
        <v>604</v>
      </c>
      <c r="D216" s="47" t="s">
        <v>605</v>
      </c>
      <c r="E216" s="46" t="s">
        <v>58</v>
      </c>
      <c r="F216" s="46" t="s">
        <v>730</v>
      </c>
      <c r="G216" s="48">
        <f>'Stavební rozpočet'!G247</f>
        <v>42.11</v>
      </c>
      <c r="H216" s="48">
        <f>'Stavební rozpočet'!H247</f>
        <v>0</v>
      </c>
      <c r="I216" s="48">
        <f>ROUND(IR216*G216,2)</f>
        <v>0</v>
      </c>
      <c r="J216" s="48">
        <f>ROUND(IS216*G216,2)</f>
        <v>0</v>
      </c>
      <c r="K216" s="48">
        <f>ROUND(IR216*G216+IS216*G216,2)</f>
        <v>0</v>
      </c>
      <c r="L216" s="48">
        <f>'Stavební rozpočet'!N247</f>
        <v>1.2099999999999999E-3</v>
      </c>
      <c r="M216" s="66">
        <f>L216*G216</f>
        <v>5.0953099999999994E-2</v>
      </c>
      <c r="HV216" s="3" t="s">
        <v>406</v>
      </c>
      <c r="HW216" s="3" t="s">
        <v>616</v>
      </c>
      <c r="IR216" s="63">
        <f>H216*0.326186725</f>
        <v>0</v>
      </c>
      <c r="IS216" s="63">
        <f>H216*(1-0.326186725)</f>
        <v>0</v>
      </c>
    </row>
    <row r="218" spans="1:253" x14ac:dyDescent="0.25">
      <c r="J218" s="4" t="s">
        <v>607</v>
      </c>
      <c r="K218" s="67">
        <f>ROUND(K12+K53+K61+K63+K69+K76+K85+K91+K101+K112+K125+K152+K154+K156+K165+K182+K189+K192+K203+K207+K215,2)</f>
        <v>0</v>
      </c>
    </row>
  </sheetData>
  <mergeCells count="54">
    <mergeCell ref="A209:E209"/>
    <mergeCell ref="A210:E210"/>
    <mergeCell ref="A211:E211"/>
    <mergeCell ref="A115:E115"/>
    <mergeCell ref="A184:E184"/>
    <mergeCell ref="A186:E186"/>
    <mergeCell ref="A194:E194"/>
    <mergeCell ref="A196:E196"/>
    <mergeCell ref="A89:E89"/>
    <mergeCell ref="A94:E94"/>
    <mergeCell ref="A95:E95"/>
    <mergeCell ref="A98:E98"/>
    <mergeCell ref="A99:E99"/>
    <mergeCell ref="A73:E73"/>
    <mergeCell ref="A79:E79"/>
    <mergeCell ref="A80:E80"/>
    <mergeCell ref="A83:E83"/>
    <mergeCell ref="A87:E87"/>
    <mergeCell ref="A34:E34"/>
    <mergeCell ref="A35:E35"/>
    <mergeCell ref="A36:E36"/>
    <mergeCell ref="A71:E71"/>
    <mergeCell ref="A72:E72"/>
    <mergeCell ref="A24:E24"/>
    <mergeCell ref="A28:E28"/>
    <mergeCell ref="A30:E30"/>
    <mergeCell ref="A31:E31"/>
    <mergeCell ref="A32:E32"/>
    <mergeCell ref="H2:M3"/>
    <mergeCell ref="H4:M5"/>
    <mergeCell ref="H6:M7"/>
    <mergeCell ref="H8:M9"/>
    <mergeCell ref="A19:E19"/>
    <mergeCell ref="F8:F9"/>
    <mergeCell ref="G2:G3"/>
    <mergeCell ref="G4:G5"/>
    <mergeCell ref="G6:G7"/>
    <mergeCell ref="G8:G9"/>
    <mergeCell ref="A1:M1"/>
    <mergeCell ref="A2:C3"/>
    <mergeCell ref="A4:C5"/>
    <mergeCell ref="A6:C7"/>
    <mergeCell ref="A8:C9"/>
    <mergeCell ref="D2:D3"/>
    <mergeCell ref="D4:D5"/>
    <mergeCell ref="D6:D7"/>
    <mergeCell ref="D8:D9"/>
    <mergeCell ref="E2:E3"/>
    <mergeCell ref="E4:E5"/>
    <mergeCell ref="E6:E7"/>
    <mergeCell ref="E8:E9"/>
    <mergeCell ref="F2:F3"/>
    <mergeCell ref="F4:F5"/>
    <mergeCell ref="F6:F7"/>
  </mergeCells>
  <pageMargins left="0.393999993801117" right="0.393999993801117" top="0.59100002050399802" bottom="0.59100002050399802" header="0" footer="0"/>
  <pageSetup scale="37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13"/>
  <sheetViews>
    <sheetView workbookViewId="0">
      <selection activeCell="A13" sqref="A13:G13"/>
    </sheetView>
  </sheetViews>
  <sheetFormatPr defaultColWidth="12.140625" defaultRowHeight="15" customHeight="1" x14ac:dyDescent="0.25"/>
  <cols>
    <col min="1" max="2" width="9.140625" customWidth="1"/>
    <col min="3" max="3" width="14.28515625" customWidth="1"/>
    <col min="4" max="4" width="42.85546875" customWidth="1"/>
    <col min="5" max="5" width="14.28515625" customWidth="1"/>
    <col min="6" max="6" width="24.140625" customWidth="1"/>
    <col min="7" max="7" width="15.7109375" customWidth="1"/>
    <col min="8" max="8" width="20" customWidth="1"/>
  </cols>
  <sheetData>
    <row r="1" spans="1:8" ht="54.75" customHeight="1" x14ac:dyDescent="0.25">
      <c r="A1" s="106" t="s">
        <v>751</v>
      </c>
      <c r="B1" s="106"/>
      <c r="C1" s="106"/>
      <c r="D1" s="106"/>
      <c r="E1" s="106"/>
      <c r="F1" s="106"/>
      <c r="G1" s="106"/>
      <c r="H1" s="106"/>
    </row>
    <row r="2" spans="1:8" x14ac:dyDescent="0.25">
      <c r="A2" s="107" t="s">
        <v>1</v>
      </c>
      <c r="B2" s="108"/>
      <c r="C2" s="117" t="str">
        <f>'Stavební rozpočet'!D2</f>
        <v>KD K-trio-Oprava sociálních zařízení a šaten</v>
      </c>
      <c r="D2" s="118"/>
      <c r="E2" s="112" t="s">
        <v>5</v>
      </c>
      <c r="F2" s="112" t="str">
        <f>'Stavební rozpočet'!J2</f>
        <v> </v>
      </c>
      <c r="G2" s="108"/>
      <c r="H2" s="114"/>
    </row>
    <row r="3" spans="1:8" ht="15" customHeight="1" x14ac:dyDescent="0.25">
      <c r="A3" s="109"/>
      <c r="B3" s="110"/>
      <c r="C3" s="119"/>
      <c r="D3" s="119"/>
      <c r="E3" s="110"/>
      <c r="F3" s="110"/>
      <c r="G3" s="110"/>
      <c r="H3" s="115"/>
    </row>
    <row r="4" spans="1:8" x14ac:dyDescent="0.25">
      <c r="A4" s="111" t="s">
        <v>7</v>
      </c>
      <c r="B4" s="110"/>
      <c r="C4" s="113" t="str">
        <f>'Stavební rozpočet'!D4</f>
        <v xml:space="preserve"> </v>
      </c>
      <c r="D4" s="110"/>
      <c r="E4" s="113" t="s">
        <v>9</v>
      </c>
      <c r="F4" s="113" t="str">
        <f>'Stavební rozpočet'!J4</f>
        <v> </v>
      </c>
      <c r="G4" s="110"/>
      <c r="H4" s="115"/>
    </row>
    <row r="5" spans="1:8" ht="15" customHeight="1" x14ac:dyDescent="0.25">
      <c r="A5" s="109"/>
      <c r="B5" s="110"/>
      <c r="C5" s="110"/>
      <c r="D5" s="110"/>
      <c r="E5" s="110"/>
      <c r="F5" s="110"/>
      <c r="G5" s="110"/>
      <c r="H5" s="115"/>
    </row>
    <row r="6" spans="1:8" x14ac:dyDescent="0.25">
      <c r="A6" s="111" t="s">
        <v>10</v>
      </c>
      <c r="B6" s="110"/>
      <c r="C6" s="113" t="str">
        <f>'Stavební rozpočet'!D6</f>
        <v xml:space="preserve"> </v>
      </c>
      <c r="D6" s="110"/>
      <c r="E6" s="113" t="s">
        <v>12</v>
      </c>
      <c r="F6" s="113" t="str">
        <f>'Stavební rozpočet'!J6</f>
        <v> </v>
      </c>
      <c r="G6" s="110"/>
      <c r="H6" s="115"/>
    </row>
    <row r="7" spans="1:8" ht="15" customHeight="1" x14ac:dyDescent="0.25">
      <c r="A7" s="109"/>
      <c r="B7" s="110"/>
      <c r="C7" s="110"/>
      <c r="D7" s="110"/>
      <c r="E7" s="110"/>
      <c r="F7" s="110"/>
      <c r="G7" s="110"/>
      <c r="H7" s="115"/>
    </row>
    <row r="8" spans="1:8" x14ac:dyDescent="0.25">
      <c r="A8" s="111" t="s">
        <v>15</v>
      </c>
      <c r="B8" s="110"/>
      <c r="C8" s="113" t="str">
        <f>'Stavební rozpočet'!J8</f>
        <v> </v>
      </c>
      <c r="D8" s="110"/>
      <c r="E8" s="113" t="s">
        <v>14</v>
      </c>
      <c r="F8" s="113">
        <f>'Stavební rozpočet'!H8</f>
        <v>0</v>
      </c>
      <c r="G8" s="110"/>
      <c r="H8" s="115"/>
    </row>
    <row r="9" spans="1:8" x14ac:dyDescent="0.25">
      <c r="A9" s="156"/>
      <c r="B9" s="157"/>
      <c r="C9" s="157"/>
      <c r="D9" s="157"/>
      <c r="E9" s="157"/>
      <c r="F9" s="157"/>
      <c r="G9" s="157"/>
      <c r="H9" s="159"/>
    </row>
    <row r="10" spans="1:8" x14ac:dyDescent="0.25">
      <c r="A10" s="78" t="s">
        <v>16</v>
      </c>
      <c r="B10" s="79" t="s">
        <v>17</v>
      </c>
      <c r="C10" s="79" t="s">
        <v>18</v>
      </c>
      <c r="D10" s="197" t="s">
        <v>19</v>
      </c>
      <c r="E10" s="198"/>
      <c r="F10" s="79" t="s">
        <v>20</v>
      </c>
      <c r="G10" s="80" t="s">
        <v>21</v>
      </c>
      <c r="H10" s="81" t="s">
        <v>752</v>
      </c>
    </row>
    <row r="12" spans="1:8" x14ac:dyDescent="0.25">
      <c r="A12" s="53" t="s">
        <v>608</v>
      </c>
    </row>
    <row r="13" spans="1:8" ht="12.75" customHeight="1" x14ac:dyDescent="0.25">
      <c r="A13" s="113" t="s">
        <v>50</v>
      </c>
      <c r="B13" s="110"/>
      <c r="C13" s="110"/>
      <c r="D13" s="110"/>
      <c r="E13" s="110"/>
      <c r="F13" s="110"/>
      <c r="G13" s="110"/>
    </row>
  </sheetData>
  <mergeCells count="19">
    <mergeCell ref="C8:D9"/>
    <mergeCell ref="F2:H3"/>
    <mergeCell ref="F4:H5"/>
    <mergeCell ref="F6:H7"/>
    <mergeCell ref="F8:H9"/>
    <mergeCell ref="D10:E10"/>
    <mergeCell ref="A13:G13"/>
    <mergeCell ref="A1:H1"/>
    <mergeCell ref="A2:B3"/>
    <mergeCell ref="A4:B5"/>
    <mergeCell ref="A6:B7"/>
    <mergeCell ref="A8:B9"/>
    <mergeCell ref="E2:E3"/>
    <mergeCell ref="E4:E5"/>
    <mergeCell ref="E6:E7"/>
    <mergeCell ref="E8:E9"/>
    <mergeCell ref="C2:D3"/>
    <mergeCell ref="C4:D5"/>
    <mergeCell ref="C6:D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37"/>
  <sheetViews>
    <sheetView topLeftCell="A7" workbookViewId="0">
      <selection activeCell="A37" sqref="A37:I37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05" t="s">
        <v>753</v>
      </c>
      <c r="B1" s="106"/>
      <c r="C1" s="106"/>
      <c r="D1" s="106"/>
      <c r="E1" s="106"/>
      <c r="F1" s="106"/>
      <c r="G1" s="106"/>
      <c r="H1" s="106"/>
      <c r="I1" s="106"/>
    </row>
    <row r="2" spans="1:9" x14ac:dyDescent="0.25">
      <c r="A2" s="107" t="s">
        <v>1</v>
      </c>
      <c r="B2" s="108"/>
      <c r="C2" s="117" t="str">
        <f>'Stavební rozpočet'!D2</f>
        <v>KD K-trio-Oprava sociálních zařízení a šaten</v>
      </c>
      <c r="D2" s="118"/>
      <c r="E2" s="112" t="s">
        <v>5</v>
      </c>
      <c r="F2" s="112" t="str">
        <f>'Stavební rozpočet'!J2</f>
        <v> </v>
      </c>
      <c r="G2" s="108"/>
      <c r="H2" s="112" t="s">
        <v>754</v>
      </c>
      <c r="I2" s="114" t="s">
        <v>50</v>
      </c>
    </row>
    <row r="3" spans="1:9" ht="15" customHeight="1" x14ac:dyDescent="0.25">
      <c r="A3" s="109"/>
      <c r="B3" s="110"/>
      <c r="C3" s="119"/>
      <c r="D3" s="119"/>
      <c r="E3" s="110"/>
      <c r="F3" s="110"/>
      <c r="G3" s="110"/>
      <c r="H3" s="110"/>
      <c r="I3" s="115"/>
    </row>
    <row r="4" spans="1:9" x14ac:dyDescent="0.25">
      <c r="A4" s="111" t="s">
        <v>7</v>
      </c>
      <c r="B4" s="110"/>
      <c r="C4" s="113" t="str">
        <f>'Stavební rozpočet'!D4</f>
        <v xml:space="preserve"> </v>
      </c>
      <c r="D4" s="110"/>
      <c r="E4" s="113" t="s">
        <v>9</v>
      </c>
      <c r="F4" s="113" t="str">
        <f>'Stavební rozpočet'!J4</f>
        <v> </v>
      </c>
      <c r="G4" s="110"/>
      <c r="H4" s="113" t="s">
        <v>754</v>
      </c>
      <c r="I4" s="115" t="s">
        <v>50</v>
      </c>
    </row>
    <row r="5" spans="1:9" ht="15" customHeight="1" x14ac:dyDescent="0.25">
      <c r="A5" s="109"/>
      <c r="B5" s="110"/>
      <c r="C5" s="110"/>
      <c r="D5" s="110"/>
      <c r="E5" s="110"/>
      <c r="F5" s="110"/>
      <c r="G5" s="110"/>
      <c r="H5" s="110"/>
      <c r="I5" s="115"/>
    </row>
    <row r="6" spans="1:9" x14ac:dyDescent="0.25">
      <c r="A6" s="111" t="s">
        <v>10</v>
      </c>
      <c r="B6" s="110"/>
      <c r="C6" s="113" t="str">
        <f>'Stavební rozpočet'!D6</f>
        <v xml:space="preserve"> </v>
      </c>
      <c r="D6" s="110"/>
      <c r="E6" s="113" t="s">
        <v>12</v>
      </c>
      <c r="F6" s="113" t="str">
        <f>'Stavební rozpočet'!J6</f>
        <v> </v>
      </c>
      <c r="G6" s="110"/>
      <c r="H6" s="113" t="s">
        <v>754</v>
      </c>
      <c r="I6" s="115" t="s">
        <v>50</v>
      </c>
    </row>
    <row r="7" spans="1:9" ht="15" customHeight="1" x14ac:dyDescent="0.25">
      <c r="A7" s="109"/>
      <c r="B7" s="110"/>
      <c r="C7" s="110"/>
      <c r="D7" s="110"/>
      <c r="E7" s="110"/>
      <c r="F7" s="110"/>
      <c r="G7" s="110"/>
      <c r="H7" s="110"/>
      <c r="I7" s="115"/>
    </row>
    <row r="8" spans="1:9" x14ac:dyDescent="0.25">
      <c r="A8" s="111" t="s">
        <v>8</v>
      </c>
      <c r="B8" s="110"/>
      <c r="C8" s="113">
        <f>'Stavební rozpočet'!H4</f>
        <v>0</v>
      </c>
      <c r="D8" s="110"/>
      <c r="E8" s="113" t="s">
        <v>11</v>
      </c>
      <c r="F8" s="113" t="str">
        <f>'Stavební rozpočet'!H6</f>
        <v xml:space="preserve"> </v>
      </c>
      <c r="G8" s="110"/>
      <c r="H8" s="110" t="s">
        <v>755</v>
      </c>
      <c r="I8" s="116">
        <v>142</v>
      </c>
    </row>
    <row r="9" spans="1:9" x14ac:dyDescent="0.25">
      <c r="A9" s="109"/>
      <c r="B9" s="110"/>
      <c r="C9" s="110"/>
      <c r="D9" s="110"/>
      <c r="E9" s="110"/>
      <c r="F9" s="110"/>
      <c r="G9" s="110"/>
      <c r="H9" s="110"/>
      <c r="I9" s="115"/>
    </row>
    <row r="10" spans="1:9" x14ac:dyDescent="0.25">
      <c r="A10" s="111" t="s">
        <v>13</v>
      </c>
      <c r="B10" s="110"/>
      <c r="C10" s="113" t="str">
        <f>'Stavební rozpočet'!D8</f>
        <v xml:space="preserve"> </v>
      </c>
      <c r="D10" s="110"/>
      <c r="E10" s="113" t="s">
        <v>15</v>
      </c>
      <c r="F10" s="113" t="str">
        <f>'Stavební rozpočet'!J8</f>
        <v> </v>
      </c>
      <c r="G10" s="110"/>
      <c r="H10" s="110" t="s">
        <v>756</v>
      </c>
      <c r="I10" s="121">
        <f>'Stavební rozpočet'!H8</f>
        <v>0</v>
      </c>
    </row>
    <row r="11" spans="1:9" x14ac:dyDescent="0.25">
      <c r="A11" s="126"/>
      <c r="B11" s="120"/>
      <c r="C11" s="120"/>
      <c r="D11" s="120"/>
      <c r="E11" s="120"/>
      <c r="F11" s="120"/>
      <c r="G11" s="120"/>
      <c r="H11" s="120"/>
      <c r="I11" s="122"/>
    </row>
    <row r="12" spans="1:9" ht="23.25" x14ac:dyDescent="0.25">
      <c r="A12" s="123" t="s">
        <v>757</v>
      </c>
      <c r="B12" s="123"/>
      <c r="C12" s="123"/>
      <c r="D12" s="123"/>
      <c r="E12" s="123"/>
      <c r="F12" s="123"/>
      <c r="G12" s="123"/>
      <c r="H12" s="123"/>
      <c r="I12" s="123"/>
    </row>
    <row r="13" spans="1:9" ht="26.25" customHeight="1" x14ac:dyDescent="0.25">
      <c r="A13" s="82" t="s">
        <v>758</v>
      </c>
      <c r="B13" s="124" t="s">
        <v>759</v>
      </c>
      <c r="C13" s="125"/>
      <c r="D13" s="83" t="s">
        <v>760</v>
      </c>
      <c r="E13" s="124" t="s">
        <v>761</v>
      </c>
      <c r="F13" s="125"/>
      <c r="G13" s="83" t="s">
        <v>762</v>
      </c>
      <c r="H13" s="124" t="s">
        <v>763</v>
      </c>
      <c r="I13" s="125"/>
    </row>
    <row r="14" spans="1:9" ht="15.75" x14ac:dyDescent="0.25">
      <c r="A14" s="84" t="s">
        <v>764</v>
      </c>
      <c r="B14" s="85" t="s">
        <v>765</v>
      </c>
      <c r="C14" s="86">
        <f>SUM('Stavební rozpočet'!AB12:AB247)</f>
        <v>0</v>
      </c>
      <c r="D14" s="133" t="s">
        <v>766</v>
      </c>
      <c r="E14" s="134"/>
      <c r="F14" s="86">
        <f>VORN!I15</f>
        <v>0</v>
      </c>
      <c r="G14" s="133" t="s">
        <v>767</v>
      </c>
      <c r="H14" s="134"/>
      <c r="I14" s="86">
        <f>VORN!I21</f>
        <v>0</v>
      </c>
    </row>
    <row r="15" spans="1:9" ht="15.75" x14ac:dyDescent="0.25">
      <c r="A15" s="87" t="s">
        <v>50</v>
      </c>
      <c r="B15" s="85" t="s">
        <v>33</v>
      </c>
      <c r="C15" s="86">
        <f>SUM('Stavební rozpočet'!AC12:AC247)</f>
        <v>0</v>
      </c>
      <c r="D15" s="133" t="s">
        <v>768</v>
      </c>
      <c r="E15" s="134"/>
      <c r="F15" s="86">
        <f>VORN!I16</f>
        <v>0</v>
      </c>
      <c r="G15" s="133" t="s">
        <v>769</v>
      </c>
      <c r="H15" s="134"/>
      <c r="I15" s="86">
        <f>VORN!I22</f>
        <v>0</v>
      </c>
    </row>
    <row r="16" spans="1:9" ht="15.75" x14ac:dyDescent="0.25">
      <c r="A16" s="84" t="s">
        <v>770</v>
      </c>
      <c r="B16" s="85" t="s">
        <v>765</v>
      </c>
      <c r="C16" s="86">
        <f>SUM('Stavební rozpočet'!AD12:AD247)</f>
        <v>0</v>
      </c>
      <c r="D16" s="133" t="s">
        <v>771</v>
      </c>
      <c r="E16" s="134"/>
      <c r="F16" s="86">
        <f>VORN!I17</f>
        <v>0</v>
      </c>
      <c r="G16" s="133" t="s">
        <v>772</v>
      </c>
      <c r="H16" s="134"/>
      <c r="I16" s="86">
        <f>VORN!I23</f>
        <v>0</v>
      </c>
    </row>
    <row r="17" spans="1:9" ht="15.75" x14ac:dyDescent="0.25">
      <c r="A17" s="87" t="s">
        <v>50</v>
      </c>
      <c r="B17" s="85" t="s">
        <v>33</v>
      </c>
      <c r="C17" s="86">
        <f>SUM('Stavební rozpočet'!AE12:AE247)</f>
        <v>0</v>
      </c>
      <c r="D17" s="133" t="s">
        <v>50</v>
      </c>
      <c r="E17" s="134"/>
      <c r="F17" s="88" t="s">
        <v>50</v>
      </c>
      <c r="G17" s="133" t="s">
        <v>773</v>
      </c>
      <c r="H17" s="134"/>
      <c r="I17" s="86">
        <f>VORN!I24</f>
        <v>0</v>
      </c>
    </row>
    <row r="18" spans="1:9" ht="15.75" x14ac:dyDescent="0.25">
      <c r="A18" s="84" t="s">
        <v>774</v>
      </c>
      <c r="B18" s="85" t="s">
        <v>765</v>
      </c>
      <c r="C18" s="86">
        <f>SUM('Stavební rozpočet'!AF12:AF247)</f>
        <v>0</v>
      </c>
      <c r="D18" s="133" t="s">
        <v>50</v>
      </c>
      <c r="E18" s="134"/>
      <c r="F18" s="88" t="s">
        <v>50</v>
      </c>
      <c r="G18" s="133" t="s">
        <v>775</v>
      </c>
      <c r="H18" s="134"/>
      <c r="I18" s="86">
        <f>VORN!I25</f>
        <v>0</v>
      </c>
    </row>
    <row r="19" spans="1:9" ht="15.75" x14ac:dyDescent="0.25">
      <c r="A19" s="87" t="s">
        <v>50</v>
      </c>
      <c r="B19" s="85" t="s">
        <v>33</v>
      </c>
      <c r="C19" s="86">
        <f>SUM('Stavební rozpočet'!AG12:AG247)</f>
        <v>0</v>
      </c>
      <c r="D19" s="133" t="s">
        <v>50</v>
      </c>
      <c r="E19" s="134"/>
      <c r="F19" s="88" t="s">
        <v>50</v>
      </c>
      <c r="G19" s="133" t="s">
        <v>776</v>
      </c>
      <c r="H19" s="134"/>
      <c r="I19" s="86">
        <f>VORN!I26</f>
        <v>0</v>
      </c>
    </row>
    <row r="20" spans="1:9" ht="15.75" x14ac:dyDescent="0.25">
      <c r="A20" s="127" t="s">
        <v>777</v>
      </c>
      <c r="B20" s="128"/>
      <c r="C20" s="86">
        <f>SUM('Stavební rozpočet'!AH12:AH247)</f>
        <v>0</v>
      </c>
      <c r="D20" s="133" t="s">
        <v>50</v>
      </c>
      <c r="E20" s="134"/>
      <c r="F20" s="88" t="s">
        <v>50</v>
      </c>
      <c r="G20" s="133" t="s">
        <v>50</v>
      </c>
      <c r="H20" s="134"/>
      <c r="I20" s="88" t="s">
        <v>50</v>
      </c>
    </row>
    <row r="21" spans="1:9" ht="15.75" x14ac:dyDescent="0.25">
      <c r="A21" s="129" t="s">
        <v>778</v>
      </c>
      <c r="B21" s="130"/>
      <c r="C21" s="89">
        <f>SUM('Stavební rozpočet'!Z12:Z247)</f>
        <v>0</v>
      </c>
      <c r="D21" s="135" t="s">
        <v>50</v>
      </c>
      <c r="E21" s="136"/>
      <c r="F21" s="90" t="s">
        <v>50</v>
      </c>
      <c r="G21" s="135" t="s">
        <v>50</v>
      </c>
      <c r="H21" s="136"/>
      <c r="I21" s="90" t="s">
        <v>50</v>
      </c>
    </row>
    <row r="22" spans="1:9" ht="16.5" customHeight="1" x14ac:dyDescent="0.25">
      <c r="A22" s="131" t="s">
        <v>779</v>
      </c>
      <c r="B22" s="132"/>
      <c r="C22" s="91">
        <f>ROUND(SUM(C14:C21),2)</f>
        <v>0</v>
      </c>
      <c r="D22" s="137" t="s">
        <v>780</v>
      </c>
      <c r="E22" s="132"/>
      <c r="F22" s="91">
        <f>SUM(F14:F21)</f>
        <v>0</v>
      </c>
      <c r="G22" s="137" t="s">
        <v>781</v>
      </c>
      <c r="H22" s="132"/>
      <c r="I22" s="91">
        <f>SUM(I14:I21)</f>
        <v>0</v>
      </c>
    </row>
    <row r="23" spans="1:9" ht="15.75" x14ac:dyDescent="0.25">
      <c r="D23" s="127" t="s">
        <v>782</v>
      </c>
      <c r="E23" s="128"/>
      <c r="F23" s="86">
        <f>'Krycí list rozpočtu (SO 01)'!F22+'Krycí list rozpočtu (SO 02)'!F22</f>
        <v>0</v>
      </c>
      <c r="G23" s="199" t="s">
        <v>783</v>
      </c>
      <c r="H23" s="128"/>
      <c r="I23" s="86">
        <f>'Krycí list rozpočtu (SO 01)'!I22+'Krycí list rozpočtu (SO 02)'!I22</f>
        <v>0</v>
      </c>
    </row>
    <row r="24" spans="1:9" ht="15.75" x14ac:dyDescent="0.25">
      <c r="G24" s="127" t="s">
        <v>784</v>
      </c>
      <c r="H24" s="128"/>
      <c r="I24" s="86">
        <f>vorn_sum</f>
        <v>0</v>
      </c>
    </row>
    <row r="25" spans="1:9" ht="15.75" x14ac:dyDescent="0.25">
      <c r="G25" s="127" t="s">
        <v>785</v>
      </c>
      <c r="H25" s="128"/>
      <c r="I25" s="86">
        <f>'Krycí list rozpočtu (SO 01)'!I23+'Krycí list rozpočtu (SO 02)'!I23</f>
        <v>0</v>
      </c>
    </row>
    <row r="27" spans="1:9" ht="15.75" x14ac:dyDescent="0.25">
      <c r="A27" s="138" t="s">
        <v>786</v>
      </c>
      <c r="B27" s="139"/>
      <c r="C27" s="92">
        <f>ROUND(SUM('Stavební rozpočet'!AJ12:AJ247),2)</f>
        <v>0</v>
      </c>
    </row>
    <row r="28" spans="1:9" ht="15.75" x14ac:dyDescent="0.25">
      <c r="A28" s="140" t="s">
        <v>787</v>
      </c>
      <c r="B28" s="141"/>
      <c r="C28" s="93">
        <f>ROUND(SUM('Stavební rozpočet'!AK12:AK247),2)</f>
        <v>0</v>
      </c>
      <c r="D28" s="142" t="s">
        <v>788</v>
      </c>
      <c r="E28" s="139"/>
      <c r="F28" s="92">
        <f>ROUND(C28*(12/100),2)</f>
        <v>0</v>
      </c>
      <c r="G28" s="142" t="s">
        <v>789</v>
      </c>
      <c r="H28" s="139"/>
      <c r="I28" s="92">
        <f>ROUND(SUM(C27:C29),2)</f>
        <v>0</v>
      </c>
    </row>
    <row r="29" spans="1:9" ht="15.75" x14ac:dyDescent="0.25">
      <c r="A29" s="140" t="s">
        <v>790</v>
      </c>
      <c r="B29" s="141"/>
      <c r="C29" s="93">
        <f>ROUND(SUM('Stavební rozpočet'!AL12:AL247)+(F22+I22+F23+I23+I24+I25),2)</f>
        <v>0</v>
      </c>
      <c r="D29" s="143" t="s">
        <v>791</v>
      </c>
      <c r="E29" s="141"/>
      <c r="F29" s="93">
        <f>ROUND(C29*(21/100),2)</f>
        <v>0</v>
      </c>
      <c r="G29" s="143" t="s">
        <v>792</v>
      </c>
      <c r="H29" s="141"/>
      <c r="I29" s="93">
        <f>ROUND(SUM(F28:F29)+I28,2)</f>
        <v>0</v>
      </c>
    </row>
    <row r="31" spans="1:9" x14ac:dyDescent="0.25">
      <c r="A31" s="144" t="s">
        <v>793</v>
      </c>
      <c r="B31" s="145"/>
      <c r="C31" s="146"/>
      <c r="D31" s="150" t="s">
        <v>794</v>
      </c>
      <c r="E31" s="145"/>
      <c r="F31" s="146"/>
      <c r="G31" s="150" t="s">
        <v>795</v>
      </c>
      <c r="H31" s="145"/>
      <c r="I31" s="146"/>
    </row>
    <row r="32" spans="1:9" x14ac:dyDescent="0.25">
      <c r="A32" s="147" t="s">
        <v>50</v>
      </c>
      <c r="B32" s="148"/>
      <c r="C32" s="149"/>
      <c r="D32" s="151" t="s">
        <v>50</v>
      </c>
      <c r="E32" s="148"/>
      <c r="F32" s="149"/>
      <c r="G32" s="151" t="s">
        <v>50</v>
      </c>
      <c r="H32" s="148"/>
      <c r="I32" s="149"/>
    </row>
    <row r="33" spans="1:9" x14ac:dyDescent="0.25">
      <c r="A33" s="147" t="s">
        <v>50</v>
      </c>
      <c r="B33" s="148"/>
      <c r="C33" s="149"/>
      <c r="D33" s="151" t="s">
        <v>50</v>
      </c>
      <c r="E33" s="148"/>
      <c r="F33" s="149"/>
      <c r="G33" s="151" t="s">
        <v>50</v>
      </c>
      <c r="H33" s="148"/>
      <c r="I33" s="149"/>
    </row>
    <row r="34" spans="1:9" x14ac:dyDescent="0.25">
      <c r="A34" s="147" t="s">
        <v>50</v>
      </c>
      <c r="B34" s="148"/>
      <c r="C34" s="149"/>
      <c r="D34" s="151" t="s">
        <v>50</v>
      </c>
      <c r="E34" s="148"/>
      <c r="F34" s="149"/>
      <c r="G34" s="151" t="s">
        <v>50</v>
      </c>
      <c r="H34" s="148"/>
      <c r="I34" s="149"/>
    </row>
    <row r="35" spans="1:9" x14ac:dyDescent="0.25">
      <c r="A35" s="155" t="s">
        <v>796</v>
      </c>
      <c r="B35" s="153"/>
      <c r="C35" s="154"/>
      <c r="D35" s="152" t="s">
        <v>796</v>
      </c>
      <c r="E35" s="153"/>
      <c r="F35" s="154"/>
      <c r="G35" s="152" t="s">
        <v>796</v>
      </c>
      <c r="H35" s="153"/>
      <c r="I35" s="154"/>
    </row>
    <row r="36" spans="1:9" x14ac:dyDescent="0.25">
      <c r="A36" s="94" t="s">
        <v>608</v>
      </c>
    </row>
    <row r="37" spans="1:9" ht="12.75" customHeight="1" x14ac:dyDescent="0.25">
      <c r="A37" s="113" t="s">
        <v>50</v>
      </c>
      <c r="B37" s="110"/>
      <c r="C37" s="110"/>
      <c r="D37" s="110"/>
      <c r="E37" s="110"/>
      <c r="F37" s="110"/>
      <c r="G37" s="110"/>
      <c r="H37" s="110"/>
      <c r="I37" s="110"/>
    </row>
  </sheetData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A10:B11"/>
    <mergeCell ref="H2:H3"/>
    <mergeCell ref="H4:H5"/>
    <mergeCell ref="H6:H7"/>
    <mergeCell ref="H8:H9"/>
    <mergeCell ref="H10:H11"/>
    <mergeCell ref="C8:D9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36"/>
  <sheetViews>
    <sheetView topLeftCell="A4"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05" t="s">
        <v>797</v>
      </c>
      <c r="B1" s="106"/>
      <c r="C1" s="106"/>
      <c r="D1" s="106"/>
      <c r="E1" s="106"/>
      <c r="F1" s="106"/>
      <c r="G1" s="106"/>
      <c r="H1" s="106"/>
      <c r="I1" s="106"/>
    </row>
    <row r="2" spans="1:9" x14ac:dyDescent="0.25">
      <c r="A2" s="107" t="s">
        <v>1</v>
      </c>
      <c r="B2" s="108"/>
      <c r="C2" s="117" t="str">
        <f>'Stavební rozpočet'!D2</f>
        <v>KD K-trio-Oprava sociálních zařízení a šaten</v>
      </c>
      <c r="D2" s="118"/>
      <c r="E2" s="112" t="s">
        <v>5</v>
      </c>
      <c r="F2" s="112" t="str">
        <f>'Stavební rozpočet'!J2</f>
        <v> </v>
      </c>
      <c r="G2" s="108"/>
      <c r="H2" s="112" t="s">
        <v>754</v>
      </c>
      <c r="I2" s="114" t="s">
        <v>50</v>
      </c>
    </row>
    <row r="3" spans="1:9" ht="15" customHeight="1" x14ac:dyDescent="0.25">
      <c r="A3" s="109"/>
      <c r="B3" s="110"/>
      <c r="C3" s="119"/>
      <c r="D3" s="119"/>
      <c r="E3" s="110"/>
      <c r="F3" s="110"/>
      <c r="G3" s="110"/>
      <c r="H3" s="110"/>
      <c r="I3" s="115"/>
    </row>
    <row r="4" spans="1:9" x14ac:dyDescent="0.25">
      <c r="A4" s="111" t="s">
        <v>7</v>
      </c>
      <c r="B4" s="110"/>
      <c r="C4" s="113" t="str">
        <f>'Stavební rozpočet'!D4</f>
        <v xml:space="preserve"> </v>
      </c>
      <c r="D4" s="110"/>
      <c r="E4" s="113" t="s">
        <v>9</v>
      </c>
      <c r="F4" s="113" t="str">
        <f>'Stavební rozpočet'!J4</f>
        <v> </v>
      </c>
      <c r="G4" s="110"/>
      <c r="H4" s="113" t="s">
        <v>754</v>
      </c>
      <c r="I4" s="115" t="s">
        <v>50</v>
      </c>
    </row>
    <row r="5" spans="1:9" ht="15" customHeight="1" x14ac:dyDescent="0.25">
      <c r="A5" s="109"/>
      <c r="B5" s="110"/>
      <c r="C5" s="110"/>
      <c r="D5" s="110"/>
      <c r="E5" s="110"/>
      <c r="F5" s="110"/>
      <c r="G5" s="110"/>
      <c r="H5" s="110"/>
      <c r="I5" s="115"/>
    </row>
    <row r="6" spans="1:9" x14ac:dyDescent="0.25">
      <c r="A6" s="111" t="s">
        <v>10</v>
      </c>
      <c r="B6" s="110"/>
      <c r="C6" s="113" t="str">
        <f>'Stavební rozpočet'!D6</f>
        <v xml:space="preserve"> </v>
      </c>
      <c r="D6" s="110"/>
      <c r="E6" s="113" t="s">
        <v>12</v>
      </c>
      <c r="F6" s="113" t="str">
        <f>'Stavební rozpočet'!J6</f>
        <v> </v>
      </c>
      <c r="G6" s="110"/>
      <c r="H6" s="113" t="s">
        <v>754</v>
      </c>
      <c r="I6" s="115" t="s">
        <v>50</v>
      </c>
    </row>
    <row r="7" spans="1:9" ht="15" customHeight="1" x14ac:dyDescent="0.25">
      <c r="A7" s="109"/>
      <c r="B7" s="110"/>
      <c r="C7" s="110"/>
      <c r="D7" s="110"/>
      <c r="E7" s="110"/>
      <c r="F7" s="110"/>
      <c r="G7" s="110"/>
      <c r="H7" s="110"/>
      <c r="I7" s="115"/>
    </row>
    <row r="8" spans="1:9" x14ac:dyDescent="0.25">
      <c r="A8" s="111" t="s">
        <v>8</v>
      </c>
      <c r="B8" s="110"/>
      <c r="C8" s="113">
        <f>'Stavební rozpočet'!H4</f>
        <v>0</v>
      </c>
      <c r="D8" s="110"/>
      <c r="E8" s="113" t="s">
        <v>11</v>
      </c>
      <c r="F8" s="113" t="str">
        <f>'Stavební rozpočet'!H6</f>
        <v xml:space="preserve"> </v>
      </c>
      <c r="G8" s="110"/>
      <c r="H8" s="110" t="s">
        <v>755</v>
      </c>
      <c r="I8" s="116">
        <v>142</v>
      </c>
    </row>
    <row r="9" spans="1:9" x14ac:dyDescent="0.25">
      <c r="A9" s="109"/>
      <c r="B9" s="110"/>
      <c r="C9" s="110"/>
      <c r="D9" s="110"/>
      <c r="E9" s="110"/>
      <c r="F9" s="110"/>
      <c r="G9" s="110"/>
      <c r="H9" s="110"/>
      <c r="I9" s="115"/>
    </row>
    <row r="10" spans="1:9" x14ac:dyDescent="0.25">
      <c r="A10" s="111" t="s">
        <v>13</v>
      </c>
      <c r="B10" s="110"/>
      <c r="C10" s="113" t="str">
        <f>'Stavební rozpočet'!D8</f>
        <v xml:space="preserve"> </v>
      </c>
      <c r="D10" s="110"/>
      <c r="E10" s="113" t="s">
        <v>15</v>
      </c>
      <c r="F10" s="113" t="str">
        <f>'Stavební rozpočet'!J8</f>
        <v> </v>
      </c>
      <c r="G10" s="110"/>
      <c r="H10" s="110" t="s">
        <v>756</v>
      </c>
      <c r="I10" s="121">
        <f>'Stavební rozpočet'!H8</f>
        <v>0</v>
      </c>
    </row>
    <row r="11" spans="1:9" x14ac:dyDescent="0.25">
      <c r="A11" s="126"/>
      <c r="B11" s="120"/>
      <c r="C11" s="120"/>
      <c r="D11" s="120"/>
      <c r="E11" s="120"/>
      <c r="F11" s="120"/>
      <c r="G11" s="120"/>
      <c r="H11" s="120"/>
      <c r="I11" s="122"/>
    </row>
    <row r="13" spans="1:9" ht="15.75" x14ac:dyDescent="0.25">
      <c r="A13" s="160" t="s">
        <v>798</v>
      </c>
      <c r="B13" s="160"/>
      <c r="C13" s="160"/>
      <c r="D13" s="160"/>
      <c r="E13" s="160"/>
    </row>
    <row r="14" spans="1:9" x14ac:dyDescent="0.25">
      <c r="A14" s="161" t="s">
        <v>799</v>
      </c>
      <c r="B14" s="162"/>
      <c r="C14" s="162"/>
      <c r="D14" s="162"/>
      <c r="E14" s="163"/>
      <c r="F14" s="95" t="s">
        <v>800</v>
      </c>
      <c r="G14" s="95" t="s">
        <v>801</v>
      </c>
      <c r="H14" s="95" t="s">
        <v>802</v>
      </c>
      <c r="I14" s="95" t="s">
        <v>800</v>
      </c>
    </row>
    <row r="15" spans="1:9" x14ac:dyDescent="0.25">
      <c r="A15" s="164" t="s">
        <v>766</v>
      </c>
      <c r="B15" s="165"/>
      <c r="C15" s="165"/>
      <c r="D15" s="165"/>
      <c r="E15" s="166"/>
      <c r="F15" s="96">
        <v>0</v>
      </c>
      <c r="G15" s="97" t="s">
        <v>50</v>
      </c>
      <c r="H15" s="97" t="s">
        <v>50</v>
      </c>
      <c r="I15" s="96">
        <f>F15</f>
        <v>0</v>
      </c>
    </row>
    <row r="16" spans="1:9" x14ac:dyDescent="0.25">
      <c r="A16" s="164" t="s">
        <v>768</v>
      </c>
      <c r="B16" s="165"/>
      <c r="C16" s="165"/>
      <c r="D16" s="165"/>
      <c r="E16" s="166"/>
      <c r="F16" s="96">
        <v>0</v>
      </c>
      <c r="G16" s="97" t="s">
        <v>50</v>
      </c>
      <c r="H16" s="97" t="s">
        <v>50</v>
      </c>
      <c r="I16" s="96">
        <f>F16</f>
        <v>0</v>
      </c>
    </row>
    <row r="17" spans="1:9" x14ac:dyDescent="0.25">
      <c r="A17" s="167" t="s">
        <v>771</v>
      </c>
      <c r="B17" s="168"/>
      <c r="C17" s="168"/>
      <c r="D17" s="168"/>
      <c r="E17" s="169"/>
      <c r="F17" s="98">
        <v>0</v>
      </c>
      <c r="G17" s="99" t="s">
        <v>50</v>
      </c>
      <c r="H17" s="99" t="s">
        <v>50</v>
      </c>
      <c r="I17" s="98">
        <f>F17</f>
        <v>0</v>
      </c>
    </row>
    <row r="18" spans="1:9" x14ac:dyDescent="0.25">
      <c r="A18" s="170" t="s">
        <v>803</v>
      </c>
      <c r="B18" s="171"/>
      <c r="C18" s="171"/>
      <c r="D18" s="171"/>
      <c r="E18" s="172"/>
      <c r="F18" s="100" t="s">
        <v>50</v>
      </c>
      <c r="G18" s="101" t="s">
        <v>50</v>
      </c>
      <c r="H18" s="101" t="s">
        <v>50</v>
      </c>
      <c r="I18" s="102">
        <f>SUM(I15:I17)</f>
        <v>0</v>
      </c>
    </row>
    <row r="20" spans="1:9" x14ac:dyDescent="0.25">
      <c r="A20" s="161" t="s">
        <v>763</v>
      </c>
      <c r="B20" s="162"/>
      <c r="C20" s="162"/>
      <c r="D20" s="162"/>
      <c r="E20" s="163"/>
      <c r="F20" s="95" t="s">
        <v>800</v>
      </c>
      <c r="G20" s="95" t="s">
        <v>801</v>
      </c>
      <c r="H20" s="95" t="s">
        <v>802</v>
      </c>
      <c r="I20" s="95" t="s">
        <v>800</v>
      </c>
    </row>
    <row r="21" spans="1:9" x14ac:dyDescent="0.25">
      <c r="A21" s="164" t="s">
        <v>767</v>
      </c>
      <c r="B21" s="165"/>
      <c r="C21" s="165"/>
      <c r="D21" s="165"/>
      <c r="E21" s="166"/>
      <c r="F21" s="96">
        <v>0</v>
      </c>
      <c r="G21" s="97" t="s">
        <v>50</v>
      </c>
      <c r="H21" s="97" t="s">
        <v>50</v>
      </c>
      <c r="I21" s="96">
        <f t="shared" ref="I21:I26" si="0">F21</f>
        <v>0</v>
      </c>
    </row>
    <row r="22" spans="1:9" x14ac:dyDescent="0.25">
      <c r="A22" s="164" t="s">
        <v>769</v>
      </c>
      <c r="B22" s="165"/>
      <c r="C22" s="165"/>
      <c r="D22" s="165"/>
      <c r="E22" s="166"/>
      <c r="F22" s="96">
        <v>0</v>
      </c>
      <c r="G22" s="97" t="s">
        <v>50</v>
      </c>
      <c r="H22" s="97" t="s">
        <v>50</v>
      </c>
      <c r="I22" s="96">
        <f t="shared" si="0"/>
        <v>0</v>
      </c>
    </row>
    <row r="23" spans="1:9" x14ac:dyDescent="0.25">
      <c r="A23" s="164" t="s">
        <v>772</v>
      </c>
      <c r="B23" s="165"/>
      <c r="C23" s="165"/>
      <c r="D23" s="165"/>
      <c r="E23" s="166"/>
      <c r="F23" s="96">
        <v>0</v>
      </c>
      <c r="G23" s="97" t="s">
        <v>50</v>
      </c>
      <c r="H23" s="97" t="s">
        <v>50</v>
      </c>
      <c r="I23" s="96">
        <f t="shared" si="0"/>
        <v>0</v>
      </c>
    </row>
    <row r="24" spans="1:9" x14ac:dyDescent="0.25">
      <c r="A24" s="164" t="s">
        <v>773</v>
      </c>
      <c r="B24" s="165"/>
      <c r="C24" s="165"/>
      <c r="D24" s="165"/>
      <c r="E24" s="166"/>
      <c r="F24" s="96">
        <v>0</v>
      </c>
      <c r="G24" s="97" t="s">
        <v>50</v>
      </c>
      <c r="H24" s="97" t="s">
        <v>50</v>
      </c>
      <c r="I24" s="96">
        <f t="shared" si="0"/>
        <v>0</v>
      </c>
    </row>
    <row r="25" spans="1:9" x14ac:dyDescent="0.25">
      <c r="A25" s="164" t="s">
        <v>775</v>
      </c>
      <c r="B25" s="165"/>
      <c r="C25" s="165"/>
      <c r="D25" s="165"/>
      <c r="E25" s="166"/>
      <c r="F25" s="96">
        <v>0</v>
      </c>
      <c r="G25" s="97" t="s">
        <v>50</v>
      </c>
      <c r="H25" s="97" t="s">
        <v>50</v>
      </c>
      <c r="I25" s="96">
        <f t="shared" si="0"/>
        <v>0</v>
      </c>
    </row>
    <row r="26" spans="1:9" x14ac:dyDescent="0.25">
      <c r="A26" s="167" t="s">
        <v>776</v>
      </c>
      <c r="B26" s="168"/>
      <c r="C26" s="168"/>
      <c r="D26" s="168"/>
      <c r="E26" s="169"/>
      <c r="F26" s="98">
        <v>0</v>
      </c>
      <c r="G26" s="99" t="s">
        <v>50</v>
      </c>
      <c r="H26" s="99" t="s">
        <v>50</v>
      </c>
      <c r="I26" s="98">
        <f t="shared" si="0"/>
        <v>0</v>
      </c>
    </row>
    <row r="27" spans="1:9" x14ac:dyDescent="0.25">
      <c r="A27" s="170" t="s">
        <v>804</v>
      </c>
      <c r="B27" s="171"/>
      <c r="C27" s="171"/>
      <c r="D27" s="171"/>
      <c r="E27" s="172"/>
      <c r="F27" s="100" t="s">
        <v>50</v>
      </c>
      <c r="G27" s="101" t="s">
        <v>50</v>
      </c>
      <c r="H27" s="101" t="s">
        <v>50</v>
      </c>
      <c r="I27" s="102">
        <f>SUM(I21:I26)</f>
        <v>0</v>
      </c>
    </row>
    <row r="29" spans="1:9" ht="15.75" x14ac:dyDescent="0.25">
      <c r="A29" s="173" t="s">
        <v>805</v>
      </c>
      <c r="B29" s="174"/>
      <c r="C29" s="174"/>
      <c r="D29" s="174"/>
      <c r="E29" s="175"/>
      <c r="F29" s="176">
        <f>I18+I27</f>
        <v>0</v>
      </c>
      <c r="G29" s="177"/>
      <c r="H29" s="177"/>
      <c r="I29" s="178"/>
    </row>
    <row r="33" spans="1:9" ht="15.75" x14ac:dyDescent="0.25">
      <c r="A33" s="160" t="s">
        <v>806</v>
      </c>
      <c r="B33" s="160"/>
      <c r="C33" s="160"/>
      <c r="D33" s="160"/>
      <c r="E33" s="160"/>
    </row>
    <row r="34" spans="1:9" x14ac:dyDescent="0.25">
      <c r="A34" s="161" t="s">
        <v>807</v>
      </c>
      <c r="B34" s="162"/>
      <c r="C34" s="162"/>
      <c r="D34" s="162"/>
      <c r="E34" s="163"/>
      <c r="F34" s="95" t="s">
        <v>800</v>
      </c>
      <c r="G34" s="95" t="s">
        <v>801</v>
      </c>
      <c r="H34" s="95" t="s">
        <v>802</v>
      </c>
      <c r="I34" s="95" t="s">
        <v>800</v>
      </c>
    </row>
    <row r="35" spans="1:9" x14ac:dyDescent="0.25">
      <c r="A35" s="167" t="s">
        <v>50</v>
      </c>
      <c r="B35" s="168"/>
      <c r="C35" s="168"/>
      <c r="D35" s="168"/>
      <c r="E35" s="169"/>
      <c r="F35" s="98">
        <v>0</v>
      </c>
      <c r="G35" s="99" t="s">
        <v>50</v>
      </c>
      <c r="H35" s="99" t="s">
        <v>50</v>
      </c>
      <c r="I35" s="98">
        <f>F35</f>
        <v>0</v>
      </c>
    </row>
    <row r="36" spans="1:9" x14ac:dyDescent="0.25">
      <c r="A36" s="170" t="s">
        <v>808</v>
      </c>
      <c r="B36" s="171"/>
      <c r="C36" s="171"/>
      <c r="D36" s="171"/>
      <c r="E36" s="172"/>
      <c r="F36" s="100" t="s">
        <v>50</v>
      </c>
      <c r="G36" s="101" t="s">
        <v>50</v>
      </c>
      <c r="H36" s="101" t="s">
        <v>50</v>
      </c>
      <c r="I36" s="102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A10:B11"/>
    <mergeCell ref="C2:D3"/>
    <mergeCell ref="C4:D5"/>
    <mergeCell ref="C6:D7"/>
    <mergeCell ref="C8:D9"/>
    <mergeCell ref="C10:D11"/>
    <mergeCell ref="E8:E9"/>
    <mergeCell ref="E10:E11"/>
    <mergeCell ref="F2:G3"/>
    <mergeCell ref="F4:G5"/>
    <mergeCell ref="F6:G7"/>
    <mergeCell ref="F8:G9"/>
    <mergeCell ref="F10:G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35"/>
  <sheetViews>
    <sheetView workbookViewId="0">
      <selection activeCell="A35" sqref="A35:I35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05" t="s">
        <v>812</v>
      </c>
      <c r="B1" s="106"/>
      <c r="C1" s="106"/>
      <c r="D1" s="106"/>
      <c r="E1" s="106"/>
      <c r="F1" s="106"/>
      <c r="G1" s="106"/>
      <c r="H1" s="106"/>
      <c r="I1" s="106"/>
    </row>
    <row r="2" spans="1:9" x14ac:dyDescent="0.25">
      <c r="A2" s="107" t="s">
        <v>1</v>
      </c>
      <c r="B2" s="108"/>
      <c r="C2" s="117" t="str">
        <f>'Stavební rozpočet'!D2</f>
        <v>KD K-trio-Oprava sociálních zařízení a šaten</v>
      </c>
      <c r="D2" s="118"/>
      <c r="E2" s="112" t="s">
        <v>5</v>
      </c>
      <c r="F2" s="112" t="str">
        <f>'Stavební rozpočet'!J2</f>
        <v> </v>
      </c>
      <c r="G2" s="108"/>
      <c r="H2" s="112" t="s">
        <v>754</v>
      </c>
      <c r="I2" s="114" t="s">
        <v>50</v>
      </c>
    </row>
    <row r="3" spans="1:9" ht="15" customHeight="1" x14ac:dyDescent="0.25">
      <c r="A3" s="109"/>
      <c r="B3" s="110"/>
      <c r="C3" s="119"/>
      <c r="D3" s="119"/>
      <c r="E3" s="110"/>
      <c r="F3" s="110"/>
      <c r="G3" s="110"/>
      <c r="H3" s="110"/>
      <c r="I3" s="115"/>
    </row>
    <row r="4" spans="1:9" x14ac:dyDescent="0.25">
      <c r="A4" s="111" t="s">
        <v>7</v>
      </c>
      <c r="B4" s="110"/>
      <c r="C4" s="113" t="str">
        <f>'Stavební rozpočet'!D4</f>
        <v xml:space="preserve"> </v>
      </c>
      <c r="D4" s="110"/>
      <c r="E4" s="113" t="s">
        <v>9</v>
      </c>
      <c r="F4" s="113" t="str">
        <f>'Stavební rozpočet'!J4</f>
        <v> </v>
      </c>
      <c r="G4" s="110"/>
      <c r="H4" s="113" t="s">
        <v>754</v>
      </c>
      <c r="I4" s="115" t="s">
        <v>50</v>
      </c>
    </row>
    <row r="5" spans="1:9" ht="15" customHeight="1" x14ac:dyDescent="0.25">
      <c r="A5" s="109"/>
      <c r="B5" s="110"/>
      <c r="C5" s="110"/>
      <c r="D5" s="110"/>
      <c r="E5" s="110"/>
      <c r="F5" s="110"/>
      <c r="G5" s="110"/>
      <c r="H5" s="110"/>
      <c r="I5" s="115"/>
    </row>
    <row r="6" spans="1:9" x14ac:dyDescent="0.25">
      <c r="A6" s="111" t="s">
        <v>10</v>
      </c>
      <c r="B6" s="110"/>
      <c r="C6" s="113" t="str">
        <f>'Stavební rozpočet'!D6</f>
        <v xml:space="preserve"> </v>
      </c>
      <c r="D6" s="110"/>
      <c r="E6" s="113" t="s">
        <v>12</v>
      </c>
      <c r="F6" s="113" t="str">
        <f>'Stavební rozpočet'!J6</f>
        <v> </v>
      </c>
      <c r="G6" s="110"/>
      <c r="H6" s="113" t="s">
        <v>754</v>
      </c>
      <c r="I6" s="115" t="s">
        <v>50</v>
      </c>
    </row>
    <row r="7" spans="1:9" ht="15" customHeight="1" x14ac:dyDescent="0.25">
      <c r="A7" s="109"/>
      <c r="B7" s="110"/>
      <c r="C7" s="110"/>
      <c r="D7" s="110"/>
      <c r="E7" s="110"/>
      <c r="F7" s="110"/>
      <c r="G7" s="110"/>
      <c r="H7" s="110"/>
      <c r="I7" s="115"/>
    </row>
    <row r="8" spans="1:9" x14ac:dyDescent="0.25">
      <c r="A8" s="111" t="s">
        <v>8</v>
      </c>
      <c r="B8" s="110"/>
      <c r="C8" s="113">
        <f>'Stavební rozpočet'!H4</f>
        <v>0</v>
      </c>
      <c r="D8" s="110"/>
      <c r="E8" s="113" t="s">
        <v>11</v>
      </c>
      <c r="F8" s="113" t="str">
        <f>'Stavební rozpočet'!H6</f>
        <v xml:space="preserve"> </v>
      </c>
      <c r="G8" s="110"/>
      <c r="H8" s="110" t="s">
        <v>755</v>
      </c>
      <c r="I8" s="116">
        <v>0</v>
      </c>
    </row>
    <row r="9" spans="1:9" x14ac:dyDescent="0.25">
      <c r="A9" s="109"/>
      <c r="B9" s="110"/>
      <c r="C9" s="110"/>
      <c r="D9" s="110"/>
      <c r="E9" s="110"/>
      <c r="F9" s="110"/>
      <c r="G9" s="110"/>
      <c r="H9" s="110"/>
      <c r="I9" s="115"/>
    </row>
    <row r="10" spans="1:9" x14ac:dyDescent="0.25">
      <c r="A10" s="111" t="s">
        <v>13</v>
      </c>
      <c r="B10" s="110"/>
      <c r="C10" s="113" t="str">
        <f>'Stavební rozpočet'!D8</f>
        <v xml:space="preserve"> </v>
      </c>
      <c r="D10" s="110"/>
      <c r="E10" s="113" t="s">
        <v>15</v>
      </c>
      <c r="F10" s="113" t="str">
        <f>'Stavební rozpočet'!J8</f>
        <v> </v>
      </c>
      <c r="G10" s="110"/>
      <c r="H10" s="110" t="s">
        <v>756</v>
      </c>
      <c r="I10" s="121">
        <f>'Stavební rozpočet'!H8</f>
        <v>0</v>
      </c>
    </row>
    <row r="11" spans="1:9" x14ac:dyDescent="0.25">
      <c r="A11" s="126"/>
      <c r="B11" s="120"/>
      <c r="C11" s="120"/>
      <c r="D11" s="120"/>
      <c r="E11" s="120"/>
      <c r="F11" s="120"/>
      <c r="G11" s="120"/>
      <c r="H11" s="120"/>
      <c r="I11" s="122"/>
    </row>
    <row r="12" spans="1:9" ht="23.25" x14ac:dyDescent="0.25">
      <c r="A12" s="123" t="s">
        <v>757</v>
      </c>
      <c r="B12" s="123"/>
      <c r="C12" s="123"/>
      <c r="D12" s="123"/>
      <c r="E12" s="123"/>
      <c r="F12" s="123"/>
      <c r="G12" s="123"/>
      <c r="H12" s="123"/>
      <c r="I12" s="123"/>
    </row>
    <row r="13" spans="1:9" ht="26.25" customHeight="1" x14ac:dyDescent="0.25">
      <c r="A13" s="82" t="s">
        <v>758</v>
      </c>
      <c r="B13" s="124" t="s">
        <v>759</v>
      </c>
      <c r="C13" s="125"/>
      <c r="D13" s="83" t="s">
        <v>760</v>
      </c>
      <c r="E13" s="124" t="s">
        <v>761</v>
      </c>
      <c r="F13" s="125"/>
      <c r="G13" s="83" t="s">
        <v>762</v>
      </c>
      <c r="H13" s="124" t="s">
        <v>763</v>
      </c>
      <c r="I13" s="125"/>
    </row>
    <row r="14" spans="1:9" ht="15.75" x14ac:dyDescent="0.25">
      <c r="A14" s="84" t="s">
        <v>764</v>
      </c>
      <c r="B14" s="85" t="s">
        <v>765</v>
      </c>
      <c r="C14" s="86">
        <f>0</f>
        <v>0</v>
      </c>
      <c r="D14" s="133" t="s">
        <v>766</v>
      </c>
      <c r="E14" s="134"/>
      <c r="F14" s="86">
        <f>'VORN objektu (SO 02)'!I15</f>
        <v>0</v>
      </c>
      <c r="G14" s="133" t="s">
        <v>767</v>
      </c>
      <c r="H14" s="134"/>
      <c r="I14" s="86">
        <f>'VORN objektu (SO 02)'!I21</f>
        <v>0</v>
      </c>
    </row>
    <row r="15" spans="1:9" ht="15.75" x14ac:dyDescent="0.25">
      <c r="A15" s="87" t="s">
        <v>50</v>
      </c>
      <c r="B15" s="85" t="s">
        <v>33</v>
      </c>
      <c r="C15" s="86">
        <f>0</f>
        <v>0</v>
      </c>
      <c r="D15" s="133" t="s">
        <v>768</v>
      </c>
      <c r="E15" s="134"/>
      <c r="F15" s="86">
        <f>'VORN objektu (SO 02)'!I16</f>
        <v>0</v>
      </c>
      <c r="G15" s="133" t="s">
        <v>769</v>
      </c>
      <c r="H15" s="134"/>
      <c r="I15" s="86">
        <f>'VORN objektu (SO 02)'!I22</f>
        <v>0</v>
      </c>
    </row>
    <row r="16" spans="1:9" ht="15.75" x14ac:dyDescent="0.25">
      <c r="A16" s="84" t="s">
        <v>770</v>
      </c>
      <c r="B16" s="85" t="s">
        <v>765</v>
      </c>
      <c r="C16" s="86">
        <f>0</f>
        <v>0</v>
      </c>
      <c r="D16" s="133" t="s">
        <v>771</v>
      </c>
      <c r="E16" s="134"/>
      <c r="F16" s="86">
        <f>'VORN objektu (SO 02)'!I17</f>
        <v>0</v>
      </c>
      <c r="G16" s="133" t="s">
        <v>772</v>
      </c>
      <c r="H16" s="134"/>
      <c r="I16" s="86">
        <f>'VORN objektu (SO 02)'!I23</f>
        <v>0</v>
      </c>
    </row>
    <row r="17" spans="1:9" ht="15.75" x14ac:dyDescent="0.25">
      <c r="A17" s="87" t="s">
        <v>50</v>
      </c>
      <c r="B17" s="85" t="s">
        <v>33</v>
      </c>
      <c r="C17" s="86">
        <f>0</f>
        <v>0</v>
      </c>
      <c r="D17" s="133" t="s">
        <v>50</v>
      </c>
      <c r="E17" s="134"/>
      <c r="F17" s="88" t="s">
        <v>50</v>
      </c>
      <c r="G17" s="133" t="s">
        <v>773</v>
      </c>
      <c r="H17" s="134"/>
      <c r="I17" s="86">
        <f>'VORN objektu (SO 02)'!I24</f>
        <v>0</v>
      </c>
    </row>
    <row r="18" spans="1:9" ht="15.75" x14ac:dyDescent="0.25">
      <c r="A18" s="84" t="s">
        <v>774</v>
      </c>
      <c r="B18" s="85" t="s">
        <v>765</v>
      </c>
      <c r="C18" s="86">
        <f>0</f>
        <v>0</v>
      </c>
      <c r="D18" s="133" t="s">
        <v>50</v>
      </c>
      <c r="E18" s="134"/>
      <c r="F18" s="88" t="s">
        <v>50</v>
      </c>
      <c r="G18" s="133" t="s">
        <v>775</v>
      </c>
      <c r="H18" s="134"/>
      <c r="I18" s="86">
        <f>'VORN objektu (SO 02)'!I25</f>
        <v>0</v>
      </c>
    </row>
    <row r="19" spans="1:9" ht="15.75" x14ac:dyDescent="0.25">
      <c r="A19" s="87" t="s">
        <v>50</v>
      </c>
      <c r="B19" s="85" t="s">
        <v>33</v>
      </c>
      <c r="C19" s="86">
        <f>0</f>
        <v>0</v>
      </c>
      <c r="D19" s="133" t="s">
        <v>50</v>
      </c>
      <c r="E19" s="134"/>
      <c r="F19" s="88" t="s">
        <v>50</v>
      </c>
      <c r="G19" s="133" t="s">
        <v>776</v>
      </c>
      <c r="H19" s="134"/>
      <c r="I19" s="86">
        <f>'VORN objektu (SO 02)'!I26</f>
        <v>0</v>
      </c>
    </row>
    <row r="20" spans="1:9" ht="15.75" x14ac:dyDescent="0.25">
      <c r="A20" s="127" t="s">
        <v>777</v>
      </c>
      <c r="B20" s="128"/>
      <c r="C20" s="86">
        <f>0</f>
        <v>0</v>
      </c>
      <c r="D20" s="133" t="s">
        <v>50</v>
      </c>
      <c r="E20" s="134"/>
      <c r="F20" s="88" t="s">
        <v>50</v>
      </c>
      <c r="G20" s="133" t="s">
        <v>50</v>
      </c>
      <c r="H20" s="134"/>
      <c r="I20" s="88" t="s">
        <v>50</v>
      </c>
    </row>
    <row r="21" spans="1:9" ht="15.75" x14ac:dyDescent="0.25">
      <c r="A21" s="129" t="s">
        <v>778</v>
      </c>
      <c r="B21" s="130"/>
      <c r="C21" s="89">
        <f>0</f>
        <v>0</v>
      </c>
      <c r="D21" s="135" t="s">
        <v>50</v>
      </c>
      <c r="E21" s="136"/>
      <c r="F21" s="90" t="s">
        <v>50</v>
      </c>
      <c r="G21" s="135" t="s">
        <v>50</v>
      </c>
      <c r="H21" s="136"/>
      <c r="I21" s="90" t="s">
        <v>50</v>
      </c>
    </row>
    <row r="22" spans="1:9" ht="16.5" customHeight="1" x14ac:dyDescent="0.25">
      <c r="A22" s="131" t="s">
        <v>779</v>
      </c>
      <c r="B22" s="132"/>
      <c r="C22" s="91">
        <f>ROUND(SUM(C14:C21),2)</f>
        <v>0</v>
      </c>
      <c r="D22" s="137" t="s">
        <v>780</v>
      </c>
      <c r="E22" s="132"/>
      <c r="F22" s="91">
        <f>SUM(F14:F21)</f>
        <v>0</v>
      </c>
      <c r="G22" s="137" t="s">
        <v>781</v>
      </c>
      <c r="H22" s="132"/>
      <c r="I22" s="91">
        <f>SUM(I14:I21)</f>
        <v>0</v>
      </c>
    </row>
    <row r="23" spans="1:9" ht="15.75" x14ac:dyDescent="0.25">
      <c r="G23" s="127" t="s">
        <v>784</v>
      </c>
      <c r="H23" s="128"/>
      <c r="I23" s="86">
        <f>'VORN objektu (SO 02)'!I36</f>
        <v>0</v>
      </c>
    </row>
    <row r="25" spans="1:9" ht="15.75" x14ac:dyDescent="0.25">
      <c r="A25" s="138" t="s">
        <v>786</v>
      </c>
      <c r="B25" s="139"/>
      <c r="C25" s="92">
        <f>0</f>
        <v>0</v>
      </c>
    </row>
    <row r="26" spans="1:9" ht="15.75" x14ac:dyDescent="0.25">
      <c r="A26" s="140" t="s">
        <v>787</v>
      </c>
      <c r="B26" s="141"/>
      <c r="C26" s="93">
        <f>0</f>
        <v>0</v>
      </c>
      <c r="D26" s="142" t="s">
        <v>788</v>
      </c>
      <c r="E26" s="139"/>
      <c r="F26" s="92">
        <f>ROUND(C26*(12/100),2)</f>
        <v>0</v>
      </c>
      <c r="G26" s="142" t="s">
        <v>789</v>
      </c>
      <c r="H26" s="139"/>
      <c r="I26" s="92">
        <f>ROUND(SUM(C25:C27),2)</f>
        <v>0</v>
      </c>
    </row>
    <row r="27" spans="1:9" ht="15.75" x14ac:dyDescent="0.25">
      <c r="A27" s="140" t="s">
        <v>790</v>
      </c>
      <c r="B27" s="141"/>
      <c r="C27" s="93">
        <f>0+(F22+I22+F23+I23+I24)</f>
        <v>0</v>
      </c>
      <c r="D27" s="143" t="s">
        <v>791</v>
      </c>
      <c r="E27" s="141"/>
      <c r="F27" s="93">
        <f>ROUND(C27*(21/100),2)</f>
        <v>0</v>
      </c>
      <c r="G27" s="143" t="s">
        <v>792</v>
      </c>
      <c r="H27" s="141"/>
      <c r="I27" s="93">
        <f>ROUND(SUM(F26:F27)+I26,2)</f>
        <v>0</v>
      </c>
    </row>
    <row r="29" spans="1:9" x14ac:dyDescent="0.25">
      <c r="A29" s="144" t="s">
        <v>793</v>
      </c>
      <c r="B29" s="145"/>
      <c r="C29" s="146"/>
      <c r="D29" s="150" t="s">
        <v>794</v>
      </c>
      <c r="E29" s="145"/>
      <c r="F29" s="146"/>
      <c r="G29" s="150" t="s">
        <v>795</v>
      </c>
      <c r="H29" s="145"/>
      <c r="I29" s="146"/>
    </row>
    <row r="30" spans="1:9" x14ac:dyDescent="0.25">
      <c r="A30" s="147" t="s">
        <v>50</v>
      </c>
      <c r="B30" s="148"/>
      <c r="C30" s="149"/>
      <c r="D30" s="151" t="s">
        <v>50</v>
      </c>
      <c r="E30" s="148"/>
      <c r="F30" s="149"/>
      <c r="G30" s="151" t="s">
        <v>50</v>
      </c>
      <c r="H30" s="148"/>
      <c r="I30" s="149"/>
    </row>
    <row r="31" spans="1:9" x14ac:dyDescent="0.25">
      <c r="A31" s="147" t="s">
        <v>50</v>
      </c>
      <c r="B31" s="148"/>
      <c r="C31" s="149"/>
      <c r="D31" s="151" t="s">
        <v>50</v>
      </c>
      <c r="E31" s="148"/>
      <c r="F31" s="149"/>
      <c r="G31" s="151" t="s">
        <v>50</v>
      </c>
      <c r="H31" s="148"/>
      <c r="I31" s="149"/>
    </row>
    <row r="32" spans="1:9" x14ac:dyDescent="0.25">
      <c r="A32" s="147" t="s">
        <v>50</v>
      </c>
      <c r="B32" s="148"/>
      <c r="C32" s="149"/>
      <c r="D32" s="151" t="s">
        <v>50</v>
      </c>
      <c r="E32" s="148"/>
      <c r="F32" s="149"/>
      <c r="G32" s="151" t="s">
        <v>50</v>
      </c>
      <c r="H32" s="148"/>
      <c r="I32" s="149"/>
    </row>
    <row r="33" spans="1:9" x14ac:dyDescent="0.25">
      <c r="A33" s="155" t="s">
        <v>796</v>
      </c>
      <c r="B33" s="153"/>
      <c r="C33" s="154"/>
      <c r="D33" s="152" t="s">
        <v>796</v>
      </c>
      <c r="E33" s="153"/>
      <c r="F33" s="154"/>
      <c r="G33" s="152" t="s">
        <v>796</v>
      </c>
      <c r="H33" s="153"/>
      <c r="I33" s="154"/>
    </row>
    <row r="34" spans="1:9" x14ac:dyDescent="0.25">
      <c r="A34" s="94" t="s">
        <v>608</v>
      </c>
    </row>
    <row r="35" spans="1:9" ht="12.75" customHeight="1" x14ac:dyDescent="0.25">
      <c r="A35" s="113" t="s">
        <v>50</v>
      </c>
      <c r="B35" s="110"/>
      <c r="C35" s="110"/>
      <c r="D35" s="110"/>
      <c r="E35" s="110"/>
      <c r="F35" s="110"/>
      <c r="G35" s="110"/>
      <c r="H35" s="110"/>
      <c r="I35" s="110"/>
    </row>
  </sheetData>
  <mergeCells count="80">
    <mergeCell ref="D32:F32"/>
    <mergeCell ref="D33:F33"/>
    <mergeCell ref="G32:I32"/>
    <mergeCell ref="G33:I33"/>
    <mergeCell ref="A35:I35"/>
    <mergeCell ref="A32:C32"/>
    <mergeCell ref="A33:C33"/>
    <mergeCell ref="G26:H26"/>
    <mergeCell ref="G27:H27"/>
    <mergeCell ref="A29:C29"/>
    <mergeCell ref="A30:C30"/>
    <mergeCell ref="A31:C31"/>
    <mergeCell ref="G29:I29"/>
    <mergeCell ref="G30:I30"/>
    <mergeCell ref="G31:I31"/>
    <mergeCell ref="D29:F29"/>
    <mergeCell ref="D30:F30"/>
    <mergeCell ref="D31:F31"/>
    <mergeCell ref="A25:B25"/>
    <mergeCell ref="A26:B26"/>
    <mergeCell ref="A27:B27"/>
    <mergeCell ref="D26:E26"/>
    <mergeCell ref="D27:E27"/>
    <mergeCell ref="G19:H19"/>
    <mergeCell ref="G20:H20"/>
    <mergeCell ref="G21:H21"/>
    <mergeCell ref="G22:H22"/>
    <mergeCell ref="G23:H23"/>
    <mergeCell ref="G14:H14"/>
    <mergeCell ref="G15:H15"/>
    <mergeCell ref="G16:H16"/>
    <mergeCell ref="G17:H17"/>
    <mergeCell ref="G18:H18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A10:B11"/>
    <mergeCell ref="H2:H3"/>
    <mergeCell ref="H4:H5"/>
    <mergeCell ref="H6:H7"/>
    <mergeCell ref="H8:H9"/>
    <mergeCell ref="H10:H11"/>
    <mergeCell ref="C8:D9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</mergeCells>
  <pageMargins left="0.393999993801117" right="0.393999993801117" top="0.59100002050399802" bottom="0.59100002050399802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</vt:i4>
      </vt:variant>
    </vt:vector>
  </HeadingPairs>
  <TitlesOfParts>
    <vt:vector size="11" baseType="lpstr">
      <vt:lpstr>Krycí list rozpočtu (SO 01)</vt:lpstr>
      <vt:lpstr>Stavební rozpočet - součet</vt:lpstr>
      <vt:lpstr>VORN objektu (SO 01)</vt:lpstr>
      <vt:lpstr>Stavební rozpočet</vt:lpstr>
      <vt:lpstr>Rozpočet - vybrané sloupce</vt:lpstr>
      <vt:lpstr>Výkaz výměr</vt:lpstr>
      <vt:lpstr>Krycí list rozpočtu</vt:lpstr>
      <vt:lpstr>VORN</vt:lpstr>
      <vt:lpstr>Krycí list rozpočtu (SO 02)</vt:lpstr>
      <vt:lpstr>VORN objektu (SO 02)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Maxová Gabriela</cp:lastModifiedBy>
  <cp:lastPrinted>2025-02-11T13:29:17Z</cp:lastPrinted>
  <dcterms:created xsi:type="dcterms:W3CDTF">2021-06-10T20:06:38Z</dcterms:created>
  <dcterms:modified xsi:type="dcterms:W3CDTF">2025-02-12T12:58:59Z</dcterms:modified>
</cp:coreProperties>
</file>